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codeName="ThisWorkbook"/>
  <mc:AlternateContent xmlns:mc="http://schemas.openxmlformats.org/markup-compatibility/2006">
    <mc:Choice Requires="x15">
      <x15ac:absPath xmlns:x15ac="http://schemas.microsoft.com/office/spreadsheetml/2010/11/ac" url="\\av-dc01\Shared Docs\Forms\CEIR Emission Inventory\"/>
    </mc:Choice>
  </mc:AlternateContent>
  <xr:revisionPtr revIDLastSave="0" documentId="8_{535F506D-F54F-483E-AC5B-DC76D52B65CF}" xr6:coauthVersionLast="36" xr6:coauthVersionMax="36" xr10:uidLastSave="{00000000-0000-0000-0000-000000000000}"/>
  <bookViews>
    <workbookView xWindow="0" yWindow="0" windowWidth="24855" windowHeight="10440" activeTab="6"/>
  </bookViews>
  <sheets>
    <sheet name="Instructions" sheetId="13" r:id="rId1"/>
    <sheet name="Data-Collection" sheetId="9" r:id="rId2"/>
    <sheet name="Emission_Cals" sheetId="10" r:id="rId3"/>
    <sheet name="MACT_Limit" sheetId="14" r:id="rId4"/>
    <sheet name="VOC_Comp" sheetId="15" r:id="rId5"/>
    <sheet name="Ems_Fac" sheetId="11" r:id="rId6"/>
    <sheet name="Conversion_Factors" sheetId="12" r:id="rId7"/>
  </sheets>
  <definedNames>
    <definedName name="_xlnm.Print_Titles" localSheetId="0">Instructions!$1:$7</definedName>
  </definedNames>
  <calcPr calcId="191029" fullCalcOnLoad="1"/>
</workbook>
</file>

<file path=xl/calcChain.xml><?xml version="1.0" encoding="utf-8"?>
<calcChain xmlns="http://schemas.openxmlformats.org/spreadsheetml/2006/main">
  <c r="C17" i="10" l="1"/>
  <c r="D57" i="12"/>
  <c r="D55" i="12"/>
  <c r="D49" i="12"/>
  <c r="D53" i="12"/>
  <c r="D51" i="12"/>
  <c r="D47" i="12"/>
  <c r="D7" i="12"/>
  <c r="D45" i="12"/>
  <c r="D43" i="12"/>
  <c r="D41" i="12"/>
  <c r="D39" i="12"/>
  <c r="D37" i="12"/>
  <c r="D35" i="12"/>
  <c r="D33" i="12"/>
  <c r="D31" i="12"/>
  <c r="D29" i="12"/>
  <c r="D27" i="12"/>
  <c r="D25" i="12"/>
  <c r="D23" i="12"/>
  <c r="D21" i="12"/>
  <c r="D19" i="12"/>
  <c r="D17" i="12"/>
  <c r="D15" i="12"/>
  <c r="D13" i="12"/>
  <c r="D11" i="12"/>
  <c r="F9" i="12"/>
  <c r="D9" i="12"/>
  <c r="D5" i="12"/>
  <c r="R56" i="9"/>
  <c r="Q56" i="9"/>
  <c r="R25" i="9"/>
  <c r="R29" i="9" s="1"/>
  <c r="R38" i="9" s="1"/>
  <c r="R18" i="10" s="1"/>
  <c r="R37" i="9"/>
  <c r="R42" i="9"/>
  <c r="Q25" i="9"/>
  <c r="Q29" i="9" s="1"/>
  <c r="Q38" i="9" s="1"/>
  <c r="Q37" i="9"/>
  <c r="Q42" i="9"/>
  <c r="R18" i="9"/>
  <c r="Q18" i="9"/>
  <c r="G18" i="9"/>
  <c r="P56" i="9"/>
  <c r="O56" i="9"/>
  <c r="N56" i="9"/>
  <c r="M56" i="9"/>
  <c r="L56" i="9"/>
  <c r="K56" i="9"/>
  <c r="J56" i="9"/>
  <c r="J21" i="10" s="1"/>
  <c r="I56" i="9"/>
  <c r="H56" i="9"/>
  <c r="G56" i="9"/>
  <c r="F56" i="9"/>
  <c r="E56" i="9"/>
  <c r="D56" i="9"/>
  <c r="P25" i="9"/>
  <c r="P29" i="9"/>
  <c r="P38" i="9" s="1"/>
  <c r="P37" i="9"/>
  <c r="P42" i="9"/>
  <c r="O25" i="9"/>
  <c r="O29" i="9" s="1"/>
  <c r="O37" i="9"/>
  <c r="O38" i="9"/>
  <c r="O43" i="9" s="1"/>
  <c r="O19" i="10" s="1"/>
  <c r="O42" i="9"/>
  <c r="N25" i="9"/>
  <c r="N29" i="9" s="1"/>
  <c r="N38" i="9" s="1"/>
  <c r="N18" i="10" s="1"/>
  <c r="N37" i="9"/>
  <c r="N42" i="9"/>
  <c r="M25" i="9"/>
  <c r="M29" i="9" s="1"/>
  <c r="M38" i="9" s="1"/>
  <c r="M43" i="9" s="1"/>
  <c r="M19" i="10" s="1"/>
  <c r="M37" i="9"/>
  <c r="M42" i="9"/>
  <c r="L25" i="9"/>
  <c r="L29" i="9"/>
  <c r="L38" i="9" s="1"/>
  <c r="L37" i="9"/>
  <c r="L42" i="9"/>
  <c r="K25" i="9"/>
  <c r="K29" i="9" s="1"/>
  <c r="K37" i="9"/>
  <c r="K38" i="9"/>
  <c r="K43" i="9" s="1"/>
  <c r="K19" i="10" s="1"/>
  <c r="K42" i="9"/>
  <c r="J25" i="9"/>
  <c r="J29" i="9" s="1"/>
  <c r="J38" i="9" s="1"/>
  <c r="J18" i="10" s="1"/>
  <c r="J37" i="9"/>
  <c r="J42" i="9"/>
  <c r="I25" i="9"/>
  <c r="I29" i="9" s="1"/>
  <c r="I38" i="9" s="1"/>
  <c r="I43" i="9" s="1"/>
  <c r="I19" i="10" s="1"/>
  <c r="I37" i="9"/>
  <c r="I42" i="9"/>
  <c r="H25" i="9"/>
  <c r="H29" i="9"/>
  <c r="H38" i="9" s="1"/>
  <c r="H37" i="9"/>
  <c r="H42" i="9"/>
  <c r="G25" i="9"/>
  <c r="G29" i="9" s="1"/>
  <c r="G37" i="9"/>
  <c r="G38" i="9"/>
  <c r="G43" i="9" s="1"/>
  <c r="G19" i="10" s="1"/>
  <c r="G42" i="9"/>
  <c r="F25" i="9"/>
  <c r="F29" i="9" s="1"/>
  <c r="F38" i="9" s="1"/>
  <c r="F18" i="10" s="1"/>
  <c r="F37" i="9"/>
  <c r="F42" i="9"/>
  <c r="F43" i="9"/>
  <c r="F19" i="10" s="1"/>
  <c r="E25" i="9"/>
  <c r="E29" i="9" s="1"/>
  <c r="E38" i="9" s="1"/>
  <c r="E43" i="9" s="1"/>
  <c r="E19" i="10" s="1"/>
  <c r="E37" i="9"/>
  <c r="E42" i="9"/>
  <c r="D25" i="9"/>
  <c r="D29" i="9"/>
  <c r="D38" i="9" s="1"/>
  <c r="D37" i="9"/>
  <c r="D42" i="9"/>
  <c r="P18" i="9"/>
  <c r="O18" i="9"/>
  <c r="N18" i="9"/>
  <c r="M18" i="9"/>
  <c r="L18" i="9"/>
  <c r="K18" i="9"/>
  <c r="J18" i="9"/>
  <c r="I18" i="9"/>
  <c r="H18" i="9"/>
  <c r="F18" i="9"/>
  <c r="E18" i="9"/>
  <c r="D18" i="9"/>
  <c r="C25" i="9"/>
  <c r="C29" i="9" s="1"/>
  <c r="C38" i="9" s="1"/>
  <c r="C37" i="9"/>
  <c r="C42" i="9"/>
  <c r="C18" i="9"/>
  <c r="C56" i="9"/>
  <c r="C21" i="10" s="1"/>
  <c r="C15" i="10"/>
  <c r="D15" i="10"/>
  <c r="E15" i="10"/>
  <c r="F15" i="10"/>
  <c r="G15" i="10"/>
  <c r="H15" i="10"/>
  <c r="I15" i="10"/>
  <c r="J15" i="10"/>
  <c r="J85" i="10" s="1"/>
  <c r="K15" i="10"/>
  <c r="L15" i="10"/>
  <c r="M15" i="10"/>
  <c r="N15" i="10"/>
  <c r="O15" i="10"/>
  <c r="P15" i="10"/>
  <c r="Q15" i="10"/>
  <c r="R15" i="10"/>
  <c r="R85" i="10" s="1"/>
  <c r="O17" i="10"/>
  <c r="O14" i="10"/>
  <c r="O7" i="10"/>
  <c r="N17" i="10"/>
  <c r="N14" i="10"/>
  <c r="N7" i="10"/>
  <c r="M17" i="10"/>
  <c r="X7" i="11" s="1"/>
  <c r="M14" i="10"/>
  <c r="M7" i="10"/>
  <c r="L17" i="10"/>
  <c r="L14" i="10"/>
  <c r="L7" i="10"/>
  <c r="K17" i="10"/>
  <c r="K14" i="10"/>
  <c r="K7" i="10"/>
  <c r="J17" i="10"/>
  <c r="J14" i="10"/>
  <c r="J7" i="10"/>
  <c r="I17" i="10"/>
  <c r="I14" i="10"/>
  <c r="I7" i="10"/>
  <c r="H17" i="10"/>
  <c r="H14" i="10"/>
  <c r="S14" i="10" s="1"/>
  <c r="H7" i="10"/>
  <c r="G17" i="10"/>
  <c r="G14" i="10"/>
  <c r="G7" i="10"/>
  <c r="F17" i="10"/>
  <c r="F14" i="10"/>
  <c r="F7" i="10"/>
  <c r="E17" i="10"/>
  <c r="G25" i="11" s="1"/>
  <c r="E14" i="10"/>
  <c r="E7" i="10"/>
  <c r="D17" i="10"/>
  <c r="D14" i="10"/>
  <c r="D7" i="10"/>
  <c r="C56" i="10"/>
  <c r="C59" i="10"/>
  <c r="C11" i="10"/>
  <c r="D21" i="10"/>
  <c r="D105" i="10" s="1"/>
  <c r="D106" i="10" s="1"/>
  <c r="D56" i="10"/>
  <c r="D59" i="10" s="1"/>
  <c r="D60" i="10" s="1"/>
  <c r="D11" i="10"/>
  <c r="E21" i="10"/>
  <c r="E56" i="10"/>
  <c r="E59" i="10"/>
  <c r="E105" i="10" s="1"/>
  <c r="E106" i="10" s="1"/>
  <c r="E11" i="10"/>
  <c r="F21" i="10"/>
  <c r="F56" i="10"/>
  <c r="F11" i="10"/>
  <c r="G21" i="10"/>
  <c r="G56" i="10"/>
  <c r="G59" i="10"/>
  <c r="G105" i="10"/>
  <c r="G106" i="10" s="1"/>
  <c r="G11" i="10"/>
  <c r="H21" i="10"/>
  <c r="H105" i="10" s="1"/>
  <c r="H106" i="10" s="1"/>
  <c r="H56" i="10"/>
  <c r="H59" i="10"/>
  <c r="H11" i="10"/>
  <c r="I21" i="10"/>
  <c r="I56" i="10"/>
  <c r="I59" i="10"/>
  <c r="I105" i="10" s="1"/>
  <c r="I106" i="10" s="1"/>
  <c r="I11" i="10"/>
  <c r="J56" i="10"/>
  <c r="J11" i="10"/>
  <c r="K21" i="10"/>
  <c r="K56" i="10"/>
  <c r="K59" i="10"/>
  <c r="K105" i="10"/>
  <c r="K106" i="10" s="1"/>
  <c r="K11" i="10"/>
  <c r="L21" i="10"/>
  <c r="L105" i="10" s="1"/>
  <c r="L106" i="10" s="1"/>
  <c r="L56" i="10"/>
  <c r="L59" i="10"/>
  <c r="L11" i="10"/>
  <c r="M21" i="10"/>
  <c r="M56" i="10"/>
  <c r="M59" i="10"/>
  <c r="M105" i="10" s="1"/>
  <c r="M106" i="10" s="1"/>
  <c r="M11" i="10"/>
  <c r="N21" i="10"/>
  <c r="N56" i="10"/>
  <c r="N11" i="10"/>
  <c r="O21" i="10"/>
  <c r="O56" i="10"/>
  <c r="O59" i="10"/>
  <c r="O105" i="10"/>
  <c r="O106" i="10" s="1"/>
  <c r="O11" i="10"/>
  <c r="P21" i="10"/>
  <c r="P105" i="10" s="1"/>
  <c r="P56" i="10"/>
  <c r="P59" i="10"/>
  <c r="P11" i="10"/>
  <c r="P106" i="10"/>
  <c r="Q21" i="10"/>
  <c r="Q56" i="10"/>
  <c r="Q59" i="10"/>
  <c r="Q105" i="10" s="1"/>
  <c r="Q106" i="10" s="1"/>
  <c r="Q11" i="10"/>
  <c r="R21" i="10"/>
  <c r="R56" i="10"/>
  <c r="R11" i="10"/>
  <c r="D102" i="10"/>
  <c r="D103" i="10" s="1"/>
  <c r="E102" i="10"/>
  <c r="E103" i="10" s="1"/>
  <c r="G102" i="10"/>
  <c r="G103" i="10"/>
  <c r="H102" i="10"/>
  <c r="H103" i="10" s="1"/>
  <c r="I102" i="10"/>
  <c r="I103" i="10" s="1"/>
  <c r="K102" i="10"/>
  <c r="K103" i="10"/>
  <c r="L102" i="10"/>
  <c r="L103" i="10" s="1"/>
  <c r="M102" i="10"/>
  <c r="M103" i="10" s="1"/>
  <c r="O102" i="10"/>
  <c r="O103" i="10"/>
  <c r="Q102" i="10"/>
  <c r="Q103" i="10" s="1"/>
  <c r="C14" i="10"/>
  <c r="C94" i="10" s="1"/>
  <c r="C7" i="10"/>
  <c r="C51" i="10"/>
  <c r="C52" i="10" s="1"/>
  <c r="C10" i="10"/>
  <c r="D51" i="10"/>
  <c r="D52" i="10" s="1"/>
  <c r="D10" i="10"/>
  <c r="D94" i="10"/>
  <c r="E51" i="10"/>
  <c r="E52" i="10" s="1"/>
  <c r="E10" i="10"/>
  <c r="E94" i="10"/>
  <c r="F51" i="10"/>
  <c r="F10" i="10"/>
  <c r="F94" i="10"/>
  <c r="G51" i="10"/>
  <c r="G52" i="10" s="1"/>
  <c r="G10" i="10"/>
  <c r="G94" i="10"/>
  <c r="H51" i="10"/>
  <c r="H10" i="10"/>
  <c r="H40" i="10" s="1"/>
  <c r="I51" i="10"/>
  <c r="I52" i="10" s="1"/>
  <c r="I10" i="10"/>
  <c r="I94" i="10"/>
  <c r="J51" i="10"/>
  <c r="J52" i="10" s="1"/>
  <c r="J10" i="10"/>
  <c r="J31" i="10" s="1"/>
  <c r="K51" i="10"/>
  <c r="K52" i="10" s="1"/>
  <c r="K10" i="10"/>
  <c r="K94" i="10"/>
  <c r="L51" i="10"/>
  <c r="L10" i="10"/>
  <c r="L28" i="10" s="1"/>
  <c r="L94" i="10"/>
  <c r="M51" i="10"/>
  <c r="M52" i="10" s="1"/>
  <c r="M10" i="10"/>
  <c r="M94" i="10"/>
  <c r="N51" i="10"/>
  <c r="N10" i="10"/>
  <c r="N94" i="10"/>
  <c r="O51" i="10"/>
  <c r="O52" i="10" s="1"/>
  <c r="O10" i="10"/>
  <c r="O94" i="10"/>
  <c r="P14" i="10"/>
  <c r="P94" i="10" s="1"/>
  <c r="P51" i="10"/>
  <c r="P52" i="10" s="1"/>
  <c r="P10" i="10"/>
  <c r="Q14" i="10"/>
  <c r="Q51" i="10"/>
  <c r="Q10" i="10"/>
  <c r="Q52" i="10"/>
  <c r="Q94" i="10"/>
  <c r="R14" i="10"/>
  <c r="R51" i="10"/>
  <c r="R52" i="10" s="1"/>
  <c r="R10" i="10"/>
  <c r="C93" i="10"/>
  <c r="D93" i="10"/>
  <c r="E93" i="10"/>
  <c r="F93" i="10"/>
  <c r="G93" i="10"/>
  <c r="I93" i="10"/>
  <c r="K93" i="10"/>
  <c r="L93" i="10"/>
  <c r="M93" i="10"/>
  <c r="N93" i="10"/>
  <c r="O93" i="10"/>
  <c r="Q93" i="10"/>
  <c r="C47" i="10"/>
  <c r="C48" i="10" s="1"/>
  <c r="C86" i="10"/>
  <c r="D47" i="10"/>
  <c r="D48" i="10" s="1"/>
  <c r="D86" i="10"/>
  <c r="E47" i="10"/>
  <c r="E48" i="10"/>
  <c r="E86" i="10"/>
  <c r="E90" i="10" s="1"/>
  <c r="E98" i="10" s="1"/>
  <c r="F47" i="10"/>
  <c r="F86" i="10"/>
  <c r="G47" i="10"/>
  <c r="G48" i="10"/>
  <c r="G86" i="10"/>
  <c r="H47" i="10"/>
  <c r="H48" i="10"/>
  <c r="I47" i="10"/>
  <c r="I48" i="10"/>
  <c r="I86" i="10"/>
  <c r="J47" i="10"/>
  <c r="J48" i="10" s="1"/>
  <c r="K47" i="10"/>
  <c r="K48" i="10" s="1"/>
  <c r="K86" i="10"/>
  <c r="L47" i="10"/>
  <c r="L86" i="10"/>
  <c r="M47" i="10"/>
  <c r="M48" i="10"/>
  <c r="M86" i="10"/>
  <c r="M90" i="10" s="1"/>
  <c r="M98" i="10" s="1"/>
  <c r="N47" i="10"/>
  <c r="N86" i="10"/>
  <c r="O47" i="10"/>
  <c r="O48" i="10"/>
  <c r="O86" i="10"/>
  <c r="P47" i="10"/>
  <c r="P48" i="10"/>
  <c r="Q47" i="10"/>
  <c r="Q48" i="10"/>
  <c r="Q86" i="10"/>
  <c r="R47" i="10"/>
  <c r="R48" i="10" s="1"/>
  <c r="C85" i="10"/>
  <c r="D85" i="10"/>
  <c r="E85" i="10"/>
  <c r="F85" i="10"/>
  <c r="G85" i="10"/>
  <c r="I85" i="10"/>
  <c r="K85" i="10"/>
  <c r="L85" i="10"/>
  <c r="M85" i="10"/>
  <c r="N85" i="10"/>
  <c r="O85" i="10"/>
  <c r="P85" i="10"/>
  <c r="Q85" i="10"/>
  <c r="C44" i="10"/>
  <c r="C45" i="10"/>
  <c r="C83" i="10"/>
  <c r="D44" i="10"/>
  <c r="D45" i="10" s="1"/>
  <c r="D83" i="10"/>
  <c r="E44" i="10"/>
  <c r="E45" i="10" s="1"/>
  <c r="E83" i="10"/>
  <c r="F44" i="10"/>
  <c r="F83" i="10"/>
  <c r="G44" i="10"/>
  <c r="G45" i="10"/>
  <c r="G83" i="10"/>
  <c r="G90" i="10" s="1"/>
  <c r="G98" i="10" s="1"/>
  <c r="H44" i="10"/>
  <c r="H45" i="10" s="1"/>
  <c r="I44" i="10"/>
  <c r="I45" i="10"/>
  <c r="I83" i="10"/>
  <c r="J44" i="10"/>
  <c r="J45" i="10"/>
  <c r="K44" i="10"/>
  <c r="K45" i="10"/>
  <c r="K83" i="10"/>
  <c r="L44" i="10"/>
  <c r="L83" i="10"/>
  <c r="M44" i="10"/>
  <c r="M45" i="10" s="1"/>
  <c r="M83" i="10"/>
  <c r="N44" i="10"/>
  <c r="N45" i="10" s="1"/>
  <c r="N83" i="10"/>
  <c r="O44" i="10"/>
  <c r="O45" i="10"/>
  <c r="O83" i="10"/>
  <c r="O90" i="10" s="1"/>
  <c r="O98" i="10" s="1"/>
  <c r="P44" i="10"/>
  <c r="P45" i="10" s="1"/>
  <c r="P83" i="10"/>
  <c r="Q44" i="10"/>
  <c r="Q45" i="10"/>
  <c r="Q83" i="10"/>
  <c r="R44" i="10"/>
  <c r="R45" i="10"/>
  <c r="C82" i="10"/>
  <c r="D82" i="10"/>
  <c r="E82" i="10"/>
  <c r="F82" i="10"/>
  <c r="G82" i="10"/>
  <c r="H82" i="10"/>
  <c r="I82" i="10"/>
  <c r="K82" i="10"/>
  <c r="L82" i="10"/>
  <c r="M82" i="10"/>
  <c r="N82" i="10"/>
  <c r="O82" i="10"/>
  <c r="P82" i="10"/>
  <c r="Q82" i="10"/>
  <c r="C6" i="10"/>
  <c r="D6" i="10"/>
  <c r="E6" i="10"/>
  <c r="F6" i="10"/>
  <c r="G6" i="10"/>
  <c r="H6" i="10"/>
  <c r="I6" i="10"/>
  <c r="J6" i="10"/>
  <c r="K6" i="10"/>
  <c r="L6" i="10"/>
  <c r="M6" i="10"/>
  <c r="N6" i="10"/>
  <c r="O6" i="10"/>
  <c r="P6" i="10"/>
  <c r="Q6" i="10"/>
  <c r="R6" i="10"/>
  <c r="P7" i="10"/>
  <c r="Q7" i="10"/>
  <c r="R7" i="10"/>
  <c r="C8" i="10"/>
  <c r="D8" i="10"/>
  <c r="E8" i="10"/>
  <c r="F8" i="10"/>
  <c r="G8" i="10"/>
  <c r="H8" i="10"/>
  <c r="I8" i="10"/>
  <c r="J8" i="10"/>
  <c r="K8" i="10"/>
  <c r="L8" i="10"/>
  <c r="M8" i="10"/>
  <c r="N8" i="10"/>
  <c r="O8" i="10"/>
  <c r="P8" i="10"/>
  <c r="Q8" i="10"/>
  <c r="R8" i="10"/>
  <c r="R66" i="10"/>
  <c r="Q17" i="10"/>
  <c r="R65" i="10"/>
  <c r="R78" i="10"/>
  <c r="R77" i="10"/>
  <c r="R75" i="10"/>
  <c r="R74" i="10"/>
  <c r="R72" i="10"/>
  <c r="R71" i="10"/>
  <c r="R69" i="10"/>
  <c r="R68" i="10"/>
  <c r="Q60" i="10"/>
  <c r="Q57" i="10"/>
  <c r="R17" i="10"/>
  <c r="R39" i="10" s="1"/>
  <c r="R40" i="10" s="1"/>
  <c r="R36" i="10"/>
  <c r="R37" i="10"/>
  <c r="R30" i="10"/>
  <c r="R31" i="10" s="1"/>
  <c r="R27" i="10"/>
  <c r="R28" i="10" s="1"/>
  <c r="R22" i="10"/>
  <c r="Q22" i="10"/>
  <c r="R20" i="10"/>
  <c r="Q20" i="10"/>
  <c r="P17" i="10"/>
  <c r="J3" i="10"/>
  <c r="J4" i="10"/>
  <c r="P60" i="10"/>
  <c r="O60" i="10"/>
  <c r="M60" i="10"/>
  <c r="L60" i="10"/>
  <c r="K60" i="10"/>
  <c r="I60" i="10"/>
  <c r="H60" i="10"/>
  <c r="G60" i="10"/>
  <c r="E60" i="10"/>
  <c r="P57" i="10"/>
  <c r="O57" i="10"/>
  <c r="M57" i="10"/>
  <c r="L57" i="10"/>
  <c r="K57" i="10"/>
  <c r="I57" i="10"/>
  <c r="H57" i="10"/>
  <c r="G57" i="10"/>
  <c r="E57" i="10"/>
  <c r="D57" i="10"/>
  <c r="C60" i="10"/>
  <c r="C57" i="10"/>
  <c r="P22" i="10"/>
  <c r="P20" i="10"/>
  <c r="O22" i="10"/>
  <c r="O20" i="10"/>
  <c r="O18" i="10"/>
  <c r="N22" i="10"/>
  <c r="N20" i="10"/>
  <c r="M22" i="10"/>
  <c r="M20" i="10"/>
  <c r="M18" i="10"/>
  <c r="L22" i="10"/>
  <c r="L20" i="10"/>
  <c r="K22" i="10"/>
  <c r="K20" i="10"/>
  <c r="K18" i="10"/>
  <c r="J22" i="10"/>
  <c r="J20" i="10"/>
  <c r="I22" i="10"/>
  <c r="I20" i="10"/>
  <c r="I18" i="10"/>
  <c r="H22" i="10"/>
  <c r="H20" i="10"/>
  <c r="G22" i="10"/>
  <c r="G20" i="10"/>
  <c r="G18" i="10"/>
  <c r="F22" i="10"/>
  <c r="F20" i="10"/>
  <c r="E22" i="10"/>
  <c r="E20" i="10"/>
  <c r="E18" i="10"/>
  <c r="D22" i="10"/>
  <c r="D20" i="10"/>
  <c r="A100" i="10"/>
  <c r="A92" i="10"/>
  <c r="A80" i="10"/>
  <c r="A63" i="10"/>
  <c r="A54" i="10"/>
  <c r="A50" i="10"/>
  <c r="A42" i="10"/>
  <c r="A25" i="10"/>
  <c r="C20" i="10"/>
  <c r="B4" i="10"/>
  <c r="B3" i="10"/>
  <c r="S3" i="10"/>
  <c r="C22" i="10"/>
  <c r="O27" i="10"/>
  <c r="O39" i="10"/>
  <c r="O40" i="10"/>
  <c r="N27" i="10"/>
  <c r="N39" i="10"/>
  <c r="N40" i="10" s="1"/>
  <c r="M27" i="10"/>
  <c r="L27" i="10"/>
  <c r="L39" i="10"/>
  <c r="K27" i="10"/>
  <c r="K28" i="10" s="1"/>
  <c r="K39" i="10"/>
  <c r="K40" i="10"/>
  <c r="J27" i="10"/>
  <c r="J39" i="10"/>
  <c r="J40" i="10" s="1"/>
  <c r="I27" i="10"/>
  <c r="I39" i="10"/>
  <c r="I40" i="10"/>
  <c r="H39" i="10"/>
  <c r="G27" i="10"/>
  <c r="G39" i="10"/>
  <c r="G40" i="10"/>
  <c r="F27" i="10"/>
  <c r="F39" i="10"/>
  <c r="E27" i="10"/>
  <c r="E28" i="10" s="1"/>
  <c r="D27" i="10"/>
  <c r="D39" i="10"/>
  <c r="D40" i="10" s="1"/>
  <c r="D28" i="10"/>
  <c r="D66" i="10"/>
  <c r="D90" i="10"/>
  <c r="D98" i="10"/>
  <c r="E66" i="10"/>
  <c r="F66" i="10"/>
  <c r="F90" i="10"/>
  <c r="F98" i="10"/>
  <c r="G28" i="10"/>
  <c r="G66" i="10"/>
  <c r="I28" i="10"/>
  <c r="I66" i="10"/>
  <c r="I90" i="10"/>
  <c r="I98" i="10" s="1"/>
  <c r="J28" i="10"/>
  <c r="J66" i="10"/>
  <c r="K66" i="10"/>
  <c r="K90" i="10"/>
  <c r="K98" i="10" s="1"/>
  <c r="L66" i="10"/>
  <c r="L90" i="10"/>
  <c r="L98" i="10"/>
  <c r="M28" i="10"/>
  <c r="M66" i="10"/>
  <c r="N28" i="10"/>
  <c r="N66" i="10"/>
  <c r="N90" i="10"/>
  <c r="N98" i="10"/>
  <c r="O28" i="10"/>
  <c r="O66" i="10"/>
  <c r="P27" i="10"/>
  <c r="P28" i="10" s="1"/>
  <c r="P66" i="10"/>
  <c r="Q27" i="10"/>
  <c r="Q28" i="10"/>
  <c r="Q66" i="10"/>
  <c r="Q90" i="10"/>
  <c r="Q98" i="10" s="1"/>
  <c r="D65" i="10"/>
  <c r="D89" i="10"/>
  <c r="E65" i="10"/>
  <c r="E89" i="10"/>
  <c r="E97" i="10" s="1"/>
  <c r="F65" i="10"/>
  <c r="G65" i="10"/>
  <c r="G89" i="10" s="1"/>
  <c r="G97" i="10" s="1"/>
  <c r="I65" i="10"/>
  <c r="I89" i="10"/>
  <c r="I97" i="10"/>
  <c r="J65" i="10"/>
  <c r="K65" i="10"/>
  <c r="K89" i="10"/>
  <c r="K97" i="10" s="1"/>
  <c r="L65" i="10"/>
  <c r="L89" i="10"/>
  <c r="L97" i="10" s="1"/>
  <c r="M65" i="10"/>
  <c r="M89" i="10"/>
  <c r="M97" i="10" s="1"/>
  <c r="N65" i="10"/>
  <c r="N89" i="10" s="1"/>
  <c r="N97" i="10" s="1"/>
  <c r="O65" i="10"/>
  <c r="O89" i="10" s="1"/>
  <c r="O97" i="10" s="1"/>
  <c r="P65" i="10"/>
  <c r="Q65" i="10"/>
  <c r="Q89" i="10"/>
  <c r="Q97" i="10"/>
  <c r="D36" i="10"/>
  <c r="D37" i="10" s="1"/>
  <c r="D78" i="10"/>
  <c r="E78" i="10"/>
  <c r="F36" i="10"/>
  <c r="F78" i="10"/>
  <c r="G36" i="10"/>
  <c r="G37" i="10"/>
  <c r="G78" i="10"/>
  <c r="H36" i="10"/>
  <c r="H37" i="10" s="1"/>
  <c r="I36" i="10"/>
  <c r="I37" i="10" s="1"/>
  <c r="I78" i="10"/>
  <c r="J36" i="10"/>
  <c r="J37" i="10" s="1"/>
  <c r="J78" i="10"/>
  <c r="K36" i="10"/>
  <c r="K37" i="10"/>
  <c r="K78" i="10"/>
  <c r="L36" i="10"/>
  <c r="L78" i="10"/>
  <c r="M78" i="10"/>
  <c r="N36" i="10"/>
  <c r="N78" i="10"/>
  <c r="O36" i="10"/>
  <c r="O37" i="10"/>
  <c r="O78" i="10"/>
  <c r="D77" i="10"/>
  <c r="E77" i="10"/>
  <c r="F77" i="10"/>
  <c r="G77" i="10"/>
  <c r="I77" i="10"/>
  <c r="J77" i="10"/>
  <c r="K77" i="10"/>
  <c r="L77" i="10"/>
  <c r="M77" i="10"/>
  <c r="N77" i="10"/>
  <c r="O77" i="10"/>
  <c r="D75" i="10"/>
  <c r="E75" i="10"/>
  <c r="F75" i="10"/>
  <c r="G75" i="10"/>
  <c r="I75" i="10"/>
  <c r="J75" i="10"/>
  <c r="K75" i="10"/>
  <c r="L75" i="10"/>
  <c r="M75" i="10"/>
  <c r="N75" i="10"/>
  <c r="O75" i="10"/>
  <c r="D74" i="10"/>
  <c r="E74" i="10"/>
  <c r="F74" i="10"/>
  <c r="G74" i="10"/>
  <c r="I74" i="10"/>
  <c r="J74" i="10"/>
  <c r="K74" i="10"/>
  <c r="L74" i="10"/>
  <c r="M74" i="10"/>
  <c r="N74" i="10"/>
  <c r="O74" i="10"/>
  <c r="D33" i="10"/>
  <c r="D34" i="10" s="1"/>
  <c r="D72" i="10"/>
  <c r="E72" i="10"/>
  <c r="F33" i="10"/>
  <c r="F72" i="10"/>
  <c r="G33" i="10"/>
  <c r="G34" i="10"/>
  <c r="G72" i="10"/>
  <c r="H33" i="10"/>
  <c r="H34" i="10" s="1"/>
  <c r="I33" i="10"/>
  <c r="I34" i="10" s="1"/>
  <c r="I72" i="10"/>
  <c r="J33" i="10"/>
  <c r="J34" i="10" s="1"/>
  <c r="J72" i="10"/>
  <c r="K33" i="10"/>
  <c r="K34" i="10"/>
  <c r="K72" i="10"/>
  <c r="L33" i="10"/>
  <c r="L34" i="10" s="1"/>
  <c r="L72" i="10"/>
  <c r="M72" i="10"/>
  <c r="N33" i="10"/>
  <c r="N72" i="10"/>
  <c r="O33" i="10"/>
  <c r="O34" i="10"/>
  <c r="O72" i="10"/>
  <c r="D71" i="10"/>
  <c r="E71" i="10"/>
  <c r="F71" i="10"/>
  <c r="G71" i="10"/>
  <c r="I71" i="10"/>
  <c r="J71" i="10"/>
  <c r="K71" i="10"/>
  <c r="L71" i="10"/>
  <c r="M71" i="10"/>
  <c r="N71" i="10"/>
  <c r="O71" i="10"/>
  <c r="D30" i="10"/>
  <c r="D31" i="10" s="1"/>
  <c r="D69" i="10"/>
  <c r="E69" i="10"/>
  <c r="F30" i="10"/>
  <c r="F69" i="10"/>
  <c r="G30" i="10"/>
  <c r="G31" i="10"/>
  <c r="G69" i="10"/>
  <c r="H30" i="10"/>
  <c r="H31" i="10" s="1"/>
  <c r="I30" i="10"/>
  <c r="I31" i="10" s="1"/>
  <c r="I69" i="10"/>
  <c r="J30" i="10"/>
  <c r="J69" i="10"/>
  <c r="K30" i="10"/>
  <c r="K31" i="10"/>
  <c r="K69" i="10"/>
  <c r="L30" i="10"/>
  <c r="L69" i="10"/>
  <c r="M69" i="10"/>
  <c r="N30" i="10"/>
  <c r="N69" i="10"/>
  <c r="O30" i="10"/>
  <c r="O31" i="10"/>
  <c r="O69" i="10"/>
  <c r="D68" i="10"/>
  <c r="E68" i="10"/>
  <c r="F68" i="10"/>
  <c r="G68" i="10"/>
  <c r="I68" i="10"/>
  <c r="J68" i="10"/>
  <c r="K68" i="10"/>
  <c r="L68" i="10"/>
  <c r="M68" i="10"/>
  <c r="N68" i="10"/>
  <c r="O68" i="10"/>
  <c r="Q36" i="10"/>
  <c r="Q37" i="10" s="1"/>
  <c r="Q78" i="10"/>
  <c r="Q77" i="10"/>
  <c r="Q75" i="10"/>
  <c r="Q74" i="10"/>
  <c r="Q33" i="10"/>
  <c r="Q34" i="10"/>
  <c r="Q72" i="10"/>
  <c r="Q71" i="10"/>
  <c r="Q30" i="10"/>
  <c r="Q31" i="10"/>
  <c r="Q69" i="10"/>
  <c r="Q68" i="10"/>
  <c r="Q39" i="10"/>
  <c r="Q40" i="10"/>
  <c r="P36" i="10"/>
  <c r="P37" i="10" s="1"/>
  <c r="P78" i="10"/>
  <c r="P77" i="10"/>
  <c r="P75" i="10"/>
  <c r="P74" i="10"/>
  <c r="P33" i="10"/>
  <c r="P34" i="10"/>
  <c r="P72" i="10"/>
  <c r="P71" i="10"/>
  <c r="P30" i="10"/>
  <c r="P31" i="10"/>
  <c r="P69" i="10"/>
  <c r="P68" i="10"/>
  <c r="P39" i="10"/>
  <c r="P40" i="10"/>
  <c r="C27" i="10"/>
  <c r="C28" i="10" s="1"/>
  <c r="C66" i="10"/>
  <c r="C90" i="10"/>
  <c r="C98" i="10"/>
  <c r="C65" i="10"/>
  <c r="C89" i="10"/>
  <c r="C97" i="10" s="1"/>
  <c r="C39" i="10"/>
  <c r="C40" i="10" s="1"/>
  <c r="C78" i="10"/>
  <c r="C77" i="10"/>
  <c r="C36" i="10"/>
  <c r="C37" i="10" s="1"/>
  <c r="C75" i="10"/>
  <c r="C74" i="10"/>
  <c r="C33" i="10"/>
  <c r="C34" i="10" s="1"/>
  <c r="C72" i="10"/>
  <c r="C71" i="10"/>
  <c r="C30" i="10"/>
  <c r="C31" i="10" s="1"/>
  <c r="C69" i="10"/>
  <c r="C68" i="10"/>
  <c r="AH26" i="11"/>
  <c r="AH25" i="11"/>
  <c r="AH24" i="11"/>
  <c r="AH23" i="11"/>
  <c r="AH20" i="11"/>
  <c r="AH19" i="11"/>
  <c r="AH18" i="11"/>
  <c r="AH17" i="11"/>
  <c r="AH16" i="11"/>
  <c r="AH15" i="11"/>
  <c r="AH14" i="11"/>
  <c r="AH13" i="11"/>
  <c r="AH12" i="11"/>
  <c r="AH11" i="11"/>
  <c r="AH10" i="11"/>
  <c r="AH9" i="11"/>
  <c r="AH8" i="11"/>
  <c r="AH7" i="11"/>
  <c r="AH6" i="11"/>
  <c r="AH5" i="11"/>
  <c r="AH4" i="11"/>
  <c r="AG26" i="11"/>
  <c r="AG25" i="11"/>
  <c r="AG23" i="11"/>
  <c r="AG20" i="11"/>
  <c r="AG19" i="11"/>
  <c r="AG18" i="11"/>
  <c r="AG17" i="11"/>
  <c r="AG16" i="11"/>
  <c r="AG15" i="11"/>
  <c r="AG14" i="11"/>
  <c r="AG13" i="11"/>
  <c r="AG12" i="11"/>
  <c r="AG11" i="11"/>
  <c r="AG10" i="11"/>
  <c r="AG9" i="11"/>
  <c r="AG8" i="11"/>
  <c r="AG5" i="11"/>
  <c r="AG7" i="11"/>
  <c r="AG6" i="11"/>
  <c r="AG4" i="11"/>
  <c r="AG24" i="11"/>
  <c r="AF26" i="11"/>
  <c r="AF25" i="11"/>
  <c r="AF24" i="11"/>
  <c r="AF23" i="11"/>
  <c r="AF20" i="11"/>
  <c r="AF19" i="11"/>
  <c r="AF18" i="11"/>
  <c r="AF17" i="11"/>
  <c r="AF16" i="11"/>
  <c r="AF15" i="11"/>
  <c r="AF14" i="11"/>
  <c r="AF13" i="11"/>
  <c r="AF12" i="11"/>
  <c r="AF11" i="11"/>
  <c r="AF10" i="11"/>
  <c r="AF9" i="11"/>
  <c r="AF8" i="11"/>
  <c r="AF7" i="11"/>
  <c r="AF6" i="11"/>
  <c r="AF5" i="11"/>
  <c r="AF4" i="11"/>
  <c r="AE20" i="11"/>
  <c r="AE19" i="11"/>
  <c r="AE18" i="11"/>
  <c r="AE17" i="11"/>
  <c r="AE16" i="11"/>
  <c r="AE15" i="11"/>
  <c r="AE14" i="11"/>
  <c r="AE13" i="11"/>
  <c r="AE12" i="11"/>
  <c r="AE11" i="11"/>
  <c r="AE10" i="11"/>
  <c r="AE9" i="11"/>
  <c r="AE8" i="11"/>
  <c r="AE7" i="11"/>
  <c r="AE6" i="11"/>
  <c r="AE5" i="11"/>
  <c r="AE4" i="11"/>
  <c r="AE23" i="11"/>
  <c r="AE24" i="11"/>
  <c r="AE25" i="11"/>
  <c r="AE26" i="11"/>
  <c r="AH27" i="11"/>
  <c r="AG27" i="11"/>
  <c r="AF27" i="11"/>
  <c r="AE27" i="11"/>
  <c r="AD27" i="11"/>
  <c r="AC27" i="11"/>
  <c r="AB27" i="11"/>
  <c r="AA27" i="11"/>
  <c r="Z27" i="11"/>
  <c r="Y27" i="11"/>
  <c r="V27" i="11"/>
  <c r="U27" i="11"/>
  <c r="T27" i="11"/>
  <c r="S27" i="11"/>
  <c r="R27" i="11"/>
  <c r="Q27" i="11"/>
  <c r="P27" i="11"/>
  <c r="O27" i="11"/>
  <c r="N27" i="11"/>
  <c r="M27" i="11"/>
  <c r="L27" i="11"/>
  <c r="K27" i="11"/>
  <c r="J27" i="11"/>
  <c r="I27" i="11"/>
  <c r="F27" i="11"/>
  <c r="E27" i="11"/>
  <c r="D27" i="11"/>
  <c r="C27" i="11"/>
  <c r="AG2" i="11"/>
  <c r="AE2" i="11"/>
  <c r="A22" i="11"/>
  <c r="A29" i="11"/>
  <c r="A28" i="11"/>
  <c r="A27" i="11"/>
  <c r="A26" i="11"/>
  <c r="A25" i="11"/>
  <c r="A24" i="11"/>
  <c r="A23" i="11"/>
  <c r="A21" i="11"/>
  <c r="A20" i="11"/>
  <c r="A19" i="11"/>
  <c r="A18" i="11"/>
  <c r="A17" i="11"/>
  <c r="A16" i="11"/>
  <c r="A15" i="11"/>
  <c r="A14" i="11"/>
  <c r="A13" i="11"/>
  <c r="A12" i="11"/>
  <c r="A11" i="11"/>
  <c r="A10" i="11"/>
  <c r="A9" i="11"/>
  <c r="A8" i="11"/>
  <c r="A7" i="11"/>
  <c r="A6" i="11"/>
  <c r="A5" i="11"/>
  <c r="A4" i="11"/>
  <c r="AD26" i="11"/>
  <c r="AB26" i="11"/>
  <c r="Z26" i="11"/>
  <c r="V26" i="11"/>
  <c r="T26" i="11"/>
  <c r="R26" i="11"/>
  <c r="P26" i="11"/>
  <c r="N26" i="11"/>
  <c r="L26" i="11"/>
  <c r="J26" i="11"/>
  <c r="F26" i="11"/>
  <c r="D26" i="11"/>
  <c r="AC23" i="11"/>
  <c r="AA23" i="11"/>
  <c r="Y23" i="11"/>
  <c r="U23" i="11"/>
  <c r="S23" i="11"/>
  <c r="Q23" i="11"/>
  <c r="O23" i="11"/>
  <c r="M23" i="11"/>
  <c r="K23" i="11"/>
  <c r="I23" i="11"/>
  <c r="E23" i="11"/>
  <c r="C23" i="11"/>
  <c r="AD25" i="11"/>
  <c r="AC25" i="11"/>
  <c r="AB25" i="11"/>
  <c r="AA25" i="11"/>
  <c r="Z25" i="11"/>
  <c r="Y25" i="11"/>
  <c r="V25" i="11"/>
  <c r="U25" i="11"/>
  <c r="T25" i="11"/>
  <c r="S25" i="11"/>
  <c r="R25" i="11"/>
  <c r="Q25" i="11"/>
  <c r="P25" i="11"/>
  <c r="O25" i="11"/>
  <c r="N25" i="11"/>
  <c r="M25" i="11"/>
  <c r="L25" i="11"/>
  <c r="K25" i="11"/>
  <c r="J25" i="11"/>
  <c r="I25" i="11"/>
  <c r="F25" i="11"/>
  <c r="E25" i="11"/>
  <c r="D25" i="11"/>
  <c r="C25" i="11"/>
  <c r="AC26" i="11"/>
  <c r="AA26" i="11"/>
  <c r="Y26" i="11"/>
  <c r="U26" i="11"/>
  <c r="S26" i="11"/>
  <c r="Q26" i="11"/>
  <c r="O26" i="11"/>
  <c r="M26" i="11"/>
  <c r="K26" i="11"/>
  <c r="I26" i="11"/>
  <c r="E26" i="11"/>
  <c r="C26" i="11"/>
  <c r="AD24" i="11"/>
  <c r="AD23" i="11"/>
  <c r="AD20" i="11"/>
  <c r="AD19" i="11"/>
  <c r="AD18" i="11"/>
  <c r="AD17" i="11"/>
  <c r="AD16" i="11"/>
  <c r="AD15" i="11"/>
  <c r="AD14" i="11"/>
  <c r="AD13" i="11"/>
  <c r="AD12" i="11"/>
  <c r="AD11" i="11"/>
  <c r="AD10" i="11"/>
  <c r="AD9" i="11"/>
  <c r="AD8" i="11"/>
  <c r="AD7" i="11"/>
  <c r="AD6" i="11"/>
  <c r="AD5" i="11"/>
  <c r="AD4" i="11"/>
  <c r="AC24" i="11"/>
  <c r="AC20" i="11"/>
  <c r="AC19" i="11"/>
  <c r="AC18" i="11"/>
  <c r="AC17" i="11"/>
  <c r="AC16" i="11"/>
  <c r="AC15" i="11"/>
  <c r="AC14" i="11"/>
  <c r="AC13" i="11"/>
  <c r="AC12" i="11"/>
  <c r="AC11" i="11"/>
  <c r="AC10" i="11"/>
  <c r="AC9" i="11"/>
  <c r="AC8" i="11"/>
  <c r="AC7" i="11"/>
  <c r="AC6" i="11"/>
  <c r="AC5" i="11"/>
  <c r="AC4" i="11"/>
  <c r="AB24" i="11"/>
  <c r="AB23" i="11"/>
  <c r="AB20" i="11"/>
  <c r="AB19" i="11"/>
  <c r="AB18" i="11"/>
  <c r="AB17" i="11"/>
  <c r="AB16" i="11"/>
  <c r="AB15" i="11"/>
  <c r="AB14" i="11"/>
  <c r="AB13" i="11"/>
  <c r="AB12" i="11"/>
  <c r="AB11" i="11"/>
  <c r="AB10" i="11"/>
  <c r="AB9" i="11"/>
  <c r="AB8" i="11"/>
  <c r="AB7" i="11"/>
  <c r="AB6" i="11"/>
  <c r="AB5" i="11"/>
  <c r="AB4" i="11"/>
  <c r="AA24" i="11"/>
  <c r="AA20" i="11"/>
  <c r="AA19" i="11"/>
  <c r="AA18" i="11"/>
  <c r="AA17" i="11"/>
  <c r="AA16" i="11"/>
  <c r="AA15" i="11"/>
  <c r="AA14" i="11"/>
  <c r="AA13" i="11"/>
  <c r="AA12" i="11"/>
  <c r="AA11" i="11"/>
  <c r="AA10" i="11"/>
  <c r="AA9" i="11"/>
  <c r="AA8" i="11"/>
  <c r="AA7" i="11"/>
  <c r="AA6" i="11"/>
  <c r="AA5" i="11"/>
  <c r="AA4" i="11"/>
  <c r="Z24" i="11"/>
  <c r="Z23" i="11"/>
  <c r="Z20" i="11"/>
  <c r="Z19" i="11"/>
  <c r="Z18" i="11"/>
  <c r="Z17" i="11"/>
  <c r="Z16" i="11"/>
  <c r="Z15" i="11"/>
  <c r="Z14" i="11"/>
  <c r="Z13" i="11"/>
  <c r="Z12" i="11"/>
  <c r="Z11" i="11"/>
  <c r="Z10" i="11"/>
  <c r="Z9" i="11"/>
  <c r="Z8" i="11"/>
  <c r="Z7" i="11"/>
  <c r="Z6" i="11"/>
  <c r="Z5" i="11"/>
  <c r="Z4" i="11"/>
  <c r="Y24" i="11"/>
  <c r="Y20" i="11"/>
  <c r="Y19" i="11"/>
  <c r="Y18" i="11"/>
  <c r="Y17" i="11"/>
  <c r="Y16" i="11"/>
  <c r="Y15" i="11"/>
  <c r="Y14" i="11"/>
  <c r="Y13" i="11"/>
  <c r="Y12" i="11"/>
  <c r="Y11" i="11"/>
  <c r="Y10" i="11"/>
  <c r="Y9" i="11"/>
  <c r="Y8" i="11"/>
  <c r="Y7" i="11"/>
  <c r="Y6" i="11"/>
  <c r="Y5" i="11"/>
  <c r="Y4" i="11"/>
  <c r="X20" i="11"/>
  <c r="X16" i="11"/>
  <c r="W17" i="11"/>
  <c r="W14" i="11"/>
  <c r="V24" i="11"/>
  <c r="V23" i="11"/>
  <c r="V20" i="11"/>
  <c r="V19" i="11"/>
  <c r="V18" i="11"/>
  <c r="V17" i="11"/>
  <c r="V16" i="11"/>
  <c r="V15" i="11"/>
  <c r="V14" i="11"/>
  <c r="V13" i="11"/>
  <c r="V12" i="11"/>
  <c r="V11" i="11"/>
  <c r="V10" i="11"/>
  <c r="V9" i="11"/>
  <c r="V8" i="11"/>
  <c r="V7" i="11"/>
  <c r="V6" i="11"/>
  <c r="V5" i="11"/>
  <c r="V4" i="11"/>
  <c r="U24" i="11"/>
  <c r="U20" i="11"/>
  <c r="U19" i="11"/>
  <c r="U18" i="11"/>
  <c r="U17" i="11"/>
  <c r="U16" i="11"/>
  <c r="U15" i="11"/>
  <c r="U14" i="11"/>
  <c r="U13" i="11"/>
  <c r="U12" i="11"/>
  <c r="U11" i="11"/>
  <c r="U10" i="11"/>
  <c r="U9" i="11"/>
  <c r="U8" i="11"/>
  <c r="U7" i="11"/>
  <c r="U6" i="11"/>
  <c r="U5" i="11"/>
  <c r="U4" i="11"/>
  <c r="T24" i="11"/>
  <c r="T23" i="11"/>
  <c r="T20" i="11"/>
  <c r="T19" i="11"/>
  <c r="T18" i="11"/>
  <c r="T17" i="11"/>
  <c r="T16" i="11"/>
  <c r="T15" i="11"/>
  <c r="T14" i="11"/>
  <c r="T13" i="11"/>
  <c r="T12" i="11"/>
  <c r="T11" i="11"/>
  <c r="T10" i="11"/>
  <c r="T9" i="11"/>
  <c r="T8" i="11"/>
  <c r="T7" i="11"/>
  <c r="T6" i="11"/>
  <c r="T5" i="11"/>
  <c r="T4" i="11"/>
  <c r="S24" i="11"/>
  <c r="S20" i="11"/>
  <c r="S19" i="11"/>
  <c r="S18" i="11"/>
  <c r="S17" i="11"/>
  <c r="S16" i="11"/>
  <c r="S15" i="11"/>
  <c r="S14" i="11"/>
  <c r="S13" i="11"/>
  <c r="S12" i="11"/>
  <c r="S11" i="11"/>
  <c r="S10" i="11"/>
  <c r="S9" i="11"/>
  <c r="S8" i="11"/>
  <c r="S7" i="11"/>
  <c r="S6" i="11"/>
  <c r="S5" i="11"/>
  <c r="S4" i="11"/>
  <c r="R24" i="11"/>
  <c r="R23" i="11"/>
  <c r="R20" i="11"/>
  <c r="R19" i="11"/>
  <c r="R18" i="11"/>
  <c r="R17" i="11"/>
  <c r="R16" i="11"/>
  <c r="R15" i="11"/>
  <c r="R14" i="11"/>
  <c r="R13" i="11"/>
  <c r="R12" i="11"/>
  <c r="R11" i="11"/>
  <c r="R10" i="11"/>
  <c r="R9" i="11"/>
  <c r="R8" i="11"/>
  <c r="R7" i="11"/>
  <c r="R6" i="11"/>
  <c r="R5" i="11"/>
  <c r="R4" i="11"/>
  <c r="Q24" i="11"/>
  <c r="Q20" i="11"/>
  <c r="Q19" i="11"/>
  <c r="Q18" i="11"/>
  <c r="Q17" i="11"/>
  <c r="Q16" i="11"/>
  <c r="Q15" i="11"/>
  <c r="Q14" i="11"/>
  <c r="Q13" i="11"/>
  <c r="Q12" i="11"/>
  <c r="Q11" i="11"/>
  <c r="Q10" i="11"/>
  <c r="Q9" i="11"/>
  <c r="Q8" i="11"/>
  <c r="Q7" i="11"/>
  <c r="Q6" i="11"/>
  <c r="Q5" i="11"/>
  <c r="Q4" i="11"/>
  <c r="P24" i="11"/>
  <c r="P23" i="11"/>
  <c r="P20" i="11"/>
  <c r="P19" i="11"/>
  <c r="P18" i="11"/>
  <c r="P17" i="11"/>
  <c r="P16" i="11"/>
  <c r="P15" i="11"/>
  <c r="P14" i="11"/>
  <c r="P13" i="11"/>
  <c r="P12" i="11"/>
  <c r="P11" i="11"/>
  <c r="P10" i="11"/>
  <c r="P9" i="11"/>
  <c r="P8" i="11"/>
  <c r="P7" i="11"/>
  <c r="P6" i="11"/>
  <c r="P5" i="11"/>
  <c r="P4" i="11"/>
  <c r="O24" i="11"/>
  <c r="O20" i="11"/>
  <c r="O19" i="11"/>
  <c r="O18" i="11"/>
  <c r="O17" i="11"/>
  <c r="O16" i="11"/>
  <c r="O15" i="11"/>
  <c r="O14" i="11"/>
  <c r="O13" i="11"/>
  <c r="O12" i="11"/>
  <c r="O11" i="11"/>
  <c r="O10" i="11"/>
  <c r="O9" i="11"/>
  <c r="O8" i="11"/>
  <c r="O7" i="11"/>
  <c r="O6" i="11"/>
  <c r="O5" i="11"/>
  <c r="O4" i="11"/>
  <c r="N24" i="11"/>
  <c r="N23" i="11"/>
  <c r="N20" i="11"/>
  <c r="N19" i="11"/>
  <c r="N18" i="11"/>
  <c r="N17" i="11"/>
  <c r="N16" i="11"/>
  <c r="N15" i="11"/>
  <c r="N14" i="11"/>
  <c r="N13" i="11"/>
  <c r="N12" i="11"/>
  <c r="N11" i="11"/>
  <c r="N10" i="11"/>
  <c r="N9" i="11"/>
  <c r="N8" i="11"/>
  <c r="N7" i="11"/>
  <c r="N6" i="11"/>
  <c r="N5" i="11"/>
  <c r="N4" i="11"/>
  <c r="M24" i="11"/>
  <c r="M20" i="11"/>
  <c r="M19" i="11"/>
  <c r="M18" i="11"/>
  <c r="M17" i="11"/>
  <c r="M16" i="11"/>
  <c r="M15" i="11"/>
  <c r="M14" i="11"/>
  <c r="M13" i="11"/>
  <c r="M12" i="11"/>
  <c r="M11" i="11"/>
  <c r="M10" i="11"/>
  <c r="M9" i="11"/>
  <c r="M8" i="11"/>
  <c r="M7" i="11"/>
  <c r="M6" i="11"/>
  <c r="M5" i="11"/>
  <c r="M4" i="11"/>
  <c r="L16" i="11"/>
  <c r="L24" i="11"/>
  <c r="L23" i="11"/>
  <c r="L19" i="11"/>
  <c r="L20" i="11"/>
  <c r="L18" i="11"/>
  <c r="L17" i="11"/>
  <c r="L15" i="11"/>
  <c r="L14" i="11"/>
  <c r="L13" i="11"/>
  <c r="L12" i="11"/>
  <c r="L11" i="11"/>
  <c r="L10" i="11"/>
  <c r="L9" i="11"/>
  <c r="L8" i="11"/>
  <c r="L7" i="11"/>
  <c r="L6" i="11"/>
  <c r="L5" i="11"/>
  <c r="L4" i="11"/>
  <c r="K24" i="11"/>
  <c r="K20" i="11"/>
  <c r="K19" i="11"/>
  <c r="K18" i="11"/>
  <c r="K17" i="11"/>
  <c r="K16" i="11"/>
  <c r="K15" i="11"/>
  <c r="K14" i="11"/>
  <c r="K13" i="11"/>
  <c r="K11" i="11"/>
  <c r="K9" i="11"/>
  <c r="K12" i="11"/>
  <c r="K10" i="11"/>
  <c r="K8" i="11"/>
  <c r="K7" i="11"/>
  <c r="K6" i="11"/>
  <c r="K5" i="11"/>
  <c r="K4" i="11"/>
  <c r="J24" i="11"/>
  <c r="J23" i="11"/>
  <c r="J20" i="11"/>
  <c r="J19" i="11"/>
  <c r="J18" i="11"/>
  <c r="J17" i="11"/>
  <c r="J16" i="11"/>
  <c r="J15" i="11"/>
  <c r="J14" i="11"/>
  <c r="J13" i="11"/>
  <c r="J12" i="11"/>
  <c r="J11" i="11"/>
  <c r="J10" i="11"/>
  <c r="J9" i="11"/>
  <c r="J8" i="11"/>
  <c r="J7" i="11"/>
  <c r="J6" i="11"/>
  <c r="J5" i="11"/>
  <c r="J4" i="11"/>
  <c r="I24" i="11"/>
  <c r="I20" i="11"/>
  <c r="I19" i="11"/>
  <c r="I18" i="11"/>
  <c r="I17" i="11"/>
  <c r="I16" i="11"/>
  <c r="I15" i="11"/>
  <c r="I14" i="11"/>
  <c r="I13" i="11"/>
  <c r="I12" i="11"/>
  <c r="I11" i="11"/>
  <c r="I10" i="11"/>
  <c r="I9" i="11"/>
  <c r="I8" i="11"/>
  <c r="I7" i="11"/>
  <c r="I6" i="11"/>
  <c r="I5" i="11"/>
  <c r="I4" i="11"/>
  <c r="H24" i="11"/>
  <c r="H20" i="11"/>
  <c r="H15" i="11"/>
  <c r="H6" i="11"/>
  <c r="H4" i="11"/>
  <c r="G17" i="11"/>
  <c r="G8" i="11"/>
  <c r="G6" i="11"/>
  <c r="F24" i="11"/>
  <c r="F23" i="11"/>
  <c r="F20" i="11"/>
  <c r="F19" i="11"/>
  <c r="F18" i="11"/>
  <c r="F17" i="11"/>
  <c r="F16" i="11"/>
  <c r="F15" i="11"/>
  <c r="F14" i="11"/>
  <c r="F13" i="11"/>
  <c r="F12" i="11"/>
  <c r="F11" i="11"/>
  <c r="F10" i="11"/>
  <c r="F9" i="11"/>
  <c r="F8" i="11"/>
  <c r="F7" i="11"/>
  <c r="F6" i="11"/>
  <c r="F5" i="11"/>
  <c r="E12" i="11"/>
  <c r="E24" i="11"/>
  <c r="E20" i="11"/>
  <c r="E19" i="11"/>
  <c r="E18" i="11"/>
  <c r="E17" i="11"/>
  <c r="E16" i="11"/>
  <c r="E15" i="11"/>
  <c r="E14" i="11"/>
  <c r="E13" i="11"/>
  <c r="E11" i="11"/>
  <c r="E10" i="11"/>
  <c r="E9" i="11"/>
  <c r="E8" i="11"/>
  <c r="E7" i="11"/>
  <c r="E6" i="11"/>
  <c r="D5" i="11"/>
  <c r="E5" i="11"/>
  <c r="F4" i="11"/>
  <c r="E4" i="11"/>
  <c r="U2" i="11"/>
  <c r="S2" i="11"/>
  <c r="Q2" i="11"/>
  <c r="O2" i="11"/>
  <c r="M2" i="11"/>
  <c r="K2" i="11"/>
  <c r="I2" i="11"/>
  <c r="G2" i="11"/>
  <c r="E2" i="11"/>
  <c r="D24" i="11"/>
  <c r="D23" i="11"/>
  <c r="D20" i="11"/>
  <c r="C20" i="11"/>
  <c r="D19" i="11"/>
  <c r="C19" i="11"/>
  <c r="D18" i="11"/>
  <c r="C18" i="11"/>
  <c r="D17" i="11"/>
  <c r="C17" i="11"/>
  <c r="D16" i="11"/>
  <c r="C16" i="11"/>
  <c r="D15" i="11"/>
  <c r="C15" i="11"/>
  <c r="D14" i="11"/>
  <c r="C14" i="11"/>
  <c r="D13" i="11"/>
  <c r="C13" i="11"/>
  <c r="D12" i="11"/>
  <c r="C12" i="11"/>
  <c r="D11" i="11"/>
  <c r="C11" i="11"/>
  <c r="D10" i="11"/>
  <c r="C10" i="11"/>
  <c r="D9" i="11"/>
  <c r="C9" i="11"/>
  <c r="D7" i="11"/>
  <c r="C7" i="11"/>
  <c r="D6" i="11"/>
  <c r="C6" i="11"/>
  <c r="C5" i="11"/>
  <c r="D8" i="11"/>
  <c r="C8" i="11"/>
  <c r="C24" i="11"/>
  <c r="C4" i="11"/>
  <c r="D4" i="11"/>
  <c r="C2" i="11"/>
  <c r="W2" i="11"/>
  <c r="Y2" i="11"/>
  <c r="AA2" i="11"/>
  <c r="AC2" i="11"/>
  <c r="I26" i="14"/>
  <c r="J26" i="14" s="1"/>
  <c r="C26" i="14"/>
  <c r="B26" i="14"/>
  <c r="I25" i="14"/>
  <c r="F25" i="14"/>
  <c r="C25" i="14"/>
  <c r="B25" i="14"/>
  <c r="A26" i="14"/>
  <c r="A25" i="14"/>
  <c r="D26" i="14"/>
  <c r="E26" i="14" s="1"/>
  <c r="F26" i="14"/>
  <c r="D25" i="14"/>
  <c r="H25" i="14"/>
  <c r="J25" i="14"/>
  <c r="E25" i="14"/>
  <c r="I24" i="14"/>
  <c r="F24" i="14"/>
  <c r="C24" i="14"/>
  <c r="B24" i="14"/>
  <c r="I23" i="14"/>
  <c r="F23" i="14"/>
  <c r="C23" i="14"/>
  <c r="D23" i="14" s="1"/>
  <c r="H23" i="14" s="1"/>
  <c r="B23" i="14"/>
  <c r="I22" i="14"/>
  <c r="F22" i="14"/>
  <c r="C22" i="14"/>
  <c r="B22" i="14"/>
  <c r="I21" i="14"/>
  <c r="C21" i="14"/>
  <c r="D21" i="14" s="1"/>
  <c r="B21" i="14"/>
  <c r="I20" i="14"/>
  <c r="J20" i="14" s="1"/>
  <c r="F20" i="14"/>
  <c r="C20" i="14"/>
  <c r="B20" i="14"/>
  <c r="I19" i="14"/>
  <c r="C19" i="14"/>
  <c r="D19" i="14"/>
  <c r="J19" i="14"/>
  <c r="F19" i="14"/>
  <c r="B19" i="14"/>
  <c r="I18" i="14"/>
  <c r="F18" i="14"/>
  <c r="C18" i="14"/>
  <c r="D18" i="14" s="1"/>
  <c r="B18" i="14"/>
  <c r="I17" i="14"/>
  <c r="F17" i="14"/>
  <c r="G17" i="14" s="1"/>
  <c r="C17" i="14"/>
  <c r="B17" i="14"/>
  <c r="F16" i="14"/>
  <c r="C16" i="14"/>
  <c r="B16" i="14"/>
  <c r="I15" i="14"/>
  <c r="F15" i="14"/>
  <c r="G15" i="14" s="1"/>
  <c r="C15" i="14"/>
  <c r="B15" i="14"/>
  <c r="I14" i="14"/>
  <c r="F14" i="14"/>
  <c r="C14" i="14"/>
  <c r="D14" i="14" s="1"/>
  <c r="E14" i="14" s="1"/>
  <c r="B14" i="14"/>
  <c r="I13" i="14"/>
  <c r="D24" i="14"/>
  <c r="H24" i="14" s="1"/>
  <c r="D22" i="14"/>
  <c r="E22" i="14" s="1"/>
  <c r="G22" i="14" s="1"/>
  <c r="D20" i="14"/>
  <c r="H18" i="14"/>
  <c r="D17" i="14"/>
  <c r="H17" i="14"/>
  <c r="D16" i="14"/>
  <c r="H16" i="14" s="1"/>
  <c r="D15" i="14"/>
  <c r="H15" i="14" s="1"/>
  <c r="C13" i="14"/>
  <c r="D13" i="14"/>
  <c r="E13" i="14" s="1"/>
  <c r="H13" i="14"/>
  <c r="C12" i="14"/>
  <c r="D12" i="14"/>
  <c r="H12" i="14" s="1"/>
  <c r="C11" i="14"/>
  <c r="D11" i="14"/>
  <c r="H11" i="14" s="1"/>
  <c r="E18" i="14"/>
  <c r="E17" i="14"/>
  <c r="E16" i="14"/>
  <c r="E15" i="14"/>
  <c r="B13" i="14"/>
  <c r="A24" i="14"/>
  <c r="A23" i="14"/>
  <c r="A22" i="14"/>
  <c r="A21" i="14"/>
  <c r="A20" i="14"/>
  <c r="A19" i="14"/>
  <c r="A18" i="14"/>
  <c r="A17" i="14"/>
  <c r="A16" i="14"/>
  <c r="A15" i="14"/>
  <c r="A14" i="14"/>
  <c r="A13" i="14"/>
  <c r="I12" i="14"/>
  <c r="B12" i="14"/>
  <c r="A12" i="14"/>
  <c r="C4" i="14"/>
  <c r="C3" i="14"/>
  <c r="J24" i="14"/>
  <c r="J23" i="14"/>
  <c r="J22" i="14"/>
  <c r="J21" i="14"/>
  <c r="J18" i="14"/>
  <c r="J17" i="14"/>
  <c r="J15" i="14"/>
  <c r="J14" i="14"/>
  <c r="J13" i="14"/>
  <c r="J12" i="14"/>
  <c r="I11" i="14"/>
  <c r="J11" i="14"/>
  <c r="F12" i="14"/>
  <c r="G18" i="14"/>
  <c r="G16" i="14"/>
  <c r="F11" i="14"/>
  <c r="B11" i="14"/>
  <c r="A11" i="14"/>
  <c r="C7" i="14"/>
  <c r="C6" i="14"/>
  <c r="C5" i="14"/>
  <c r="K25" i="14"/>
  <c r="K24" i="14"/>
  <c r="K23" i="14"/>
  <c r="K22" i="14"/>
  <c r="K21" i="14"/>
  <c r="K20" i="14"/>
  <c r="K19" i="14"/>
  <c r="K17" i="14"/>
  <c r="K15" i="14"/>
  <c r="K14" i="14"/>
  <c r="K13" i="14"/>
  <c r="K12" i="14"/>
  <c r="K11" i="14"/>
  <c r="B13" i="15"/>
  <c r="B7" i="15"/>
  <c r="B6" i="15"/>
  <c r="B5" i="15"/>
  <c r="B4" i="15"/>
  <c r="B3" i="15"/>
  <c r="H21" i="14" l="1"/>
  <c r="E21" i="14"/>
  <c r="G9" i="11"/>
  <c r="H7" i="11"/>
  <c r="W18" i="11"/>
  <c r="W25" i="11"/>
  <c r="P89" i="10"/>
  <c r="P97" i="10" s="1"/>
  <c r="L48" i="10"/>
  <c r="N37" i="10"/>
  <c r="N34" i="10"/>
  <c r="N31" i="10"/>
  <c r="N48" i="10"/>
  <c r="H43" i="9"/>
  <c r="H19" i="10" s="1"/>
  <c r="H18" i="10"/>
  <c r="S21" i="10"/>
  <c r="C102" i="10"/>
  <c r="F21" i="14"/>
  <c r="G21" i="14" s="1"/>
  <c r="E12" i="14"/>
  <c r="G12" i="14" s="1"/>
  <c r="E23" i="14"/>
  <c r="G23" i="14" s="1"/>
  <c r="H20" i="14"/>
  <c r="E20" i="14"/>
  <c r="G20" i="14" s="1"/>
  <c r="G25" i="14"/>
  <c r="G10" i="11"/>
  <c r="H8" i="11"/>
  <c r="X4" i="11"/>
  <c r="G26" i="11"/>
  <c r="W26" i="11"/>
  <c r="L31" i="10"/>
  <c r="F45" i="10"/>
  <c r="N52" i="10"/>
  <c r="H52" i="10"/>
  <c r="D43" i="9"/>
  <c r="D19" i="10" s="1"/>
  <c r="D18" i="10"/>
  <c r="R94" i="10"/>
  <c r="R93" i="10"/>
  <c r="R86" i="10"/>
  <c r="R83" i="10"/>
  <c r="R82" i="10"/>
  <c r="P43" i="9"/>
  <c r="P19" i="10" s="1"/>
  <c r="P18" i="10"/>
  <c r="F52" i="10"/>
  <c r="C105" i="10"/>
  <c r="E39" i="10"/>
  <c r="E40" i="10" s="1"/>
  <c r="G27" i="11"/>
  <c r="H19" i="11"/>
  <c r="H11" i="11"/>
  <c r="G24" i="11"/>
  <c r="G13" i="11"/>
  <c r="G5" i="11"/>
  <c r="G23" i="11"/>
  <c r="H18" i="11"/>
  <c r="H10" i="11"/>
  <c r="G20" i="11"/>
  <c r="G12" i="11"/>
  <c r="G4" i="11"/>
  <c r="H25" i="11"/>
  <c r="H17" i="11"/>
  <c r="H9" i="11"/>
  <c r="G19" i="11"/>
  <c r="G11" i="11"/>
  <c r="E36" i="10"/>
  <c r="E37" i="10" s="1"/>
  <c r="E33" i="10"/>
  <c r="E34" i="10" s="1"/>
  <c r="E30" i="10"/>
  <c r="E31" i="10" s="1"/>
  <c r="H27" i="11"/>
  <c r="H23" i="11"/>
  <c r="H13" i="11"/>
  <c r="H5" i="11"/>
  <c r="G15" i="11"/>
  <c r="G7" i="11"/>
  <c r="F13" i="14"/>
  <c r="G13" i="14" s="1"/>
  <c r="E24" i="14"/>
  <c r="G24" i="14" s="1"/>
  <c r="G14" i="14"/>
  <c r="G26" i="14"/>
  <c r="G14" i="11"/>
  <c r="H12" i="11"/>
  <c r="H75" i="10"/>
  <c r="S75" i="10" s="1"/>
  <c r="L37" i="10"/>
  <c r="D97" i="10"/>
  <c r="L40" i="10"/>
  <c r="R102" i="10"/>
  <c r="R103" i="10" s="1"/>
  <c r="R59" i="10"/>
  <c r="R60" i="10" s="1"/>
  <c r="R57" i="10"/>
  <c r="C43" i="9"/>
  <c r="C19" i="10" s="1"/>
  <c r="C18" i="10"/>
  <c r="Q43" i="9"/>
  <c r="Q19" i="10" s="1"/>
  <c r="Q18" i="10"/>
  <c r="S82" i="10"/>
  <c r="F37" i="10"/>
  <c r="F34" i="10"/>
  <c r="F31" i="10"/>
  <c r="F48" i="10"/>
  <c r="J93" i="10"/>
  <c r="J86" i="10"/>
  <c r="T15" i="10"/>
  <c r="U16" i="10" s="1"/>
  <c r="J83" i="10"/>
  <c r="J94" i="10"/>
  <c r="J82" i="10"/>
  <c r="J89" i="10" s="1"/>
  <c r="J102" i="10"/>
  <c r="J103" i="10" s="1"/>
  <c r="E11" i="14"/>
  <c r="G11" i="14" s="1"/>
  <c r="F29" i="14" s="1"/>
  <c r="H31" i="14" s="1"/>
  <c r="E19" i="14"/>
  <c r="G19" i="14" s="1"/>
  <c r="H19" i="14"/>
  <c r="F89" i="10"/>
  <c r="F97" i="10" s="1"/>
  <c r="R89" i="10"/>
  <c r="R97" i="10" s="1"/>
  <c r="L52" i="10"/>
  <c r="H83" i="10"/>
  <c r="S83" i="10" s="1"/>
  <c r="H93" i="10"/>
  <c r="S93" i="10" s="1"/>
  <c r="H77" i="10"/>
  <c r="S77" i="10" s="1"/>
  <c r="H74" i="10"/>
  <c r="S74" i="10" s="1"/>
  <c r="H71" i="10"/>
  <c r="H68" i="10"/>
  <c r="S68" i="10" s="1"/>
  <c r="S30" i="10" s="1"/>
  <c r="H85" i="10"/>
  <c r="H65" i="10"/>
  <c r="H89" i="10" s="1"/>
  <c r="H97" i="10" s="1"/>
  <c r="H86" i="10"/>
  <c r="S86" i="10" s="1"/>
  <c r="H27" i="10"/>
  <c r="H28" i="10" s="1"/>
  <c r="H66" i="10"/>
  <c r="H94" i="10"/>
  <c r="S94" i="10" s="1"/>
  <c r="H78" i="10"/>
  <c r="S78" i="10" s="1"/>
  <c r="H72" i="10"/>
  <c r="S72" i="10" s="1"/>
  <c r="H69" i="10"/>
  <c r="S69" i="10" s="1"/>
  <c r="M39" i="10"/>
  <c r="M40" i="10" s="1"/>
  <c r="W27" i="11"/>
  <c r="X19" i="11"/>
  <c r="X11" i="11"/>
  <c r="W24" i="11"/>
  <c r="W13" i="11"/>
  <c r="W5" i="11"/>
  <c r="W23" i="11"/>
  <c r="X18" i="11"/>
  <c r="X10" i="11"/>
  <c r="W20" i="11"/>
  <c r="W12" i="11"/>
  <c r="W4" i="11"/>
  <c r="X25" i="11"/>
  <c r="X17" i="11"/>
  <c r="X9" i="11"/>
  <c r="W19" i="11"/>
  <c r="W11" i="11"/>
  <c r="M36" i="10"/>
  <c r="M37" i="10" s="1"/>
  <c r="M33" i="10"/>
  <c r="M34" i="10" s="1"/>
  <c r="M30" i="10"/>
  <c r="M31" i="10" s="1"/>
  <c r="X24" i="11"/>
  <c r="X14" i="11"/>
  <c r="X6" i="11"/>
  <c r="W16" i="11"/>
  <c r="W8" i="11"/>
  <c r="X27" i="11"/>
  <c r="X23" i="11"/>
  <c r="X13" i="11"/>
  <c r="X5" i="11"/>
  <c r="W15" i="11"/>
  <c r="W7" i="11"/>
  <c r="L43" i="9"/>
  <c r="L19" i="10" s="1"/>
  <c r="L18" i="10"/>
  <c r="H14" i="14"/>
  <c r="H22" i="14"/>
  <c r="I16" i="14"/>
  <c r="J16" i="14" s="1"/>
  <c r="H26" i="14"/>
  <c r="G16" i="11"/>
  <c r="H14" i="11"/>
  <c r="W6" i="11"/>
  <c r="X8" i="11"/>
  <c r="F28" i="10"/>
  <c r="L45" i="10"/>
  <c r="R105" i="10"/>
  <c r="R106" i="10" s="1"/>
  <c r="N102" i="10"/>
  <c r="N103" i="10" s="1"/>
  <c r="N59" i="10"/>
  <c r="N60" i="10" s="1"/>
  <c r="N57" i="10"/>
  <c r="R43" i="9"/>
  <c r="R19" i="10" s="1"/>
  <c r="W9" i="11"/>
  <c r="X12" i="11"/>
  <c r="F40" i="10"/>
  <c r="N105" i="10"/>
  <c r="N106" i="10" s="1"/>
  <c r="J57" i="10"/>
  <c r="J59" i="10"/>
  <c r="J60" i="10" s="1"/>
  <c r="F102" i="10"/>
  <c r="F103" i="10" s="1"/>
  <c r="F59" i="10"/>
  <c r="F60" i="10" s="1"/>
  <c r="F57" i="10"/>
  <c r="N43" i="9"/>
  <c r="N19" i="10" s="1"/>
  <c r="G18" i="11"/>
  <c r="H16" i="11"/>
  <c r="W10" i="11"/>
  <c r="X15" i="11"/>
  <c r="H26" i="11"/>
  <c r="X26" i="11"/>
  <c r="S71" i="10"/>
  <c r="S85" i="10"/>
  <c r="J43" i="9"/>
  <c r="J19" i="10" s="1"/>
  <c r="R33" i="10"/>
  <c r="R34" i="10" s="1"/>
  <c r="P86" i="10"/>
  <c r="P90" i="10" s="1"/>
  <c r="P98" i="10" s="1"/>
  <c r="P102" i="10"/>
  <c r="P103" i="10" s="1"/>
  <c r="P93" i="10"/>
  <c r="S52" i="10" l="1"/>
  <c r="S36" i="10"/>
  <c r="S39" i="10"/>
  <c r="S51" i="10"/>
  <c r="S48" i="10"/>
  <c r="S45" i="10"/>
  <c r="J97" i="10"/>
  <c r="S97" i="10" s="1"/>
  <c r="S89" i="10"/>
  <c r="H90" i="10"/>
  <c r="S66" i="10"/>
  <c r="S28" i="10" s="1"/>
  <c r="K16" i="14"/>
  <c r="S37" i="10"/>
  <c r="S44" i="10"/>
  <c r="J105" i="10"/>
  <c r="J106" i="10" s="1"/>
  <c r="K26" i="14"/>
  <c r="R90" i="10"/>
  <c r="R98" i="10" s="1"/>
  <c r="S102" i="10"/>
  <c r="S56" i="10" s="1"/>
  <c r="C103" i="10"/>
  <c r="S103" i="10" s="1"/>
  <c r="S57" i="10" s="1"/>
  <c r="F105" i="10"/>
  <c r="F106" i="10" s="1"/>
  <c r="S31" i="10"/>
  <c r="G29" i="14"/>
  <c r="J90" i="10"/>
  <c r="J98" i="10" s="1"/>
  <c r="K18" i="14"/>
  <c r="S47" i="10"/>
  <c r="S34" i="10"/>
  <c r="S33" i="10"/>
  <c r="J27" i="14"/>
  <c r="S40" i="10"/>
  <c r="S65" i="10"/>
  <c r="S27" i="10" s="1"/>
  <c r="S105" i="10"/>
  <c r="S59" i="10" s="1"/>
  <c r="C106" i="10"/>
  <c r="S106" i="10" s="1"/>
  <c r="S60" i="10" s="1"/>
  <c r="K28" i="14" l="1"/>
  <c r="H98" i="10"/>
  <c r="S98" i="10" s="1"/>
  <c r="B10" i="15" s="1"/>
  <c r="S90" i="10"/>
  <c r="B11" i="15" s="1"/>
  <c r="B15" i="15" s="1"/>
  <c r="J29" i="14"/>
</calcChain>
</file>

<file path=xl/sharedStrings.xml><?xml version="1.0" encoding="utf-8"?>
<sst xmlns="http://schemas.openxmlformats.org/spreadsheetml/2006/main" count="739" uniqueCount="453">
  <si>
    <t>FOOTNOTES</t>
  </si>
  <si>
    <t>Manufacturer/ Supplier</t>
  </si>
  <si>
    <t>Product Code Number</t>
  </si>
  <si>
    <t>Telephone Number</t>
  </si>
  <si>
    <t>Styrene</t>
  </si>
  <si>
    <t>Methyl Methacrylate</t>
  </si>
  <si>
    <t>Reduction Factor</t>
  </si>
  <si>
    <t>Name of Material</t>
  </si>
  <si>
    <t>Density (lbs/gal)</t>
  </si>
  <si>
    <t>Vapor suppression</t>
  </si>
  <si>
    <t>Vapor Suppressed (Y / N)</t>
  </si>
  <si>
    <r>
      <t xml:space="preserve">Method of applying the raw material </t>
    </r>
    <r>
      <rPr>
        <vertAlign val="superscript"/>
        <sz val="10"/>
        <rFont val="Arial"/>
        <family val="2"/>
      </rPr>
      <t>1</t>
    </r>
  </si>
  <si>
    <t>Code</t>
  </si>
  <si>
    <t>Method</t>
  </si>
  <si>
    <t>Ratio (Resin to Filler)</t>
  </si>
  <si>
    <r>
      <t xml:space="preserve">Method of curing </t>
    </r>
    <r>
      <rPr>
        <vertAlign val="superscript"/>
        <sz val="10"/>
        <rFont val="Arial"/>
        <family val="2"/>
      </rPr>
      <t>2</t>
    </r>
  </si>
  <si>
    <r>
      <t xml:space="preserve">VOC Emission Control System </t>
    </r>
    <r>
      <rPr>
        <vertAlign val="superscript"/>
        <sz val="10"/>
        <rFont val="Arial"/>
        <family val="2"/>
      </rPr>
      <t>3</t>
    </r>
  </si>
  <si>
    <t>Amount of inert mineral filler added</t>
  </si>
  <si>
    <r>
      <t xml:space="preserve">VOC Emission Control System (Code) </t>
    </r>
    <r>
      <rPr>
        <vertAlign val="superscript"/>
        <sz val="10"/>
        <rFont val="Arial"/>
        <family val="2"/>
      </rPr>
      <t>3</t>
    </r>
  </si>
  <si>
    <t>Control Efficiency (%)</t>
  </si>
  <si>
    <t>Amount of Raw Material Used per Year</t>
  </si>
  <si>
    <t>Gallons</t>
  </si>
  <si>
    <t>Pounds</t>
  </si>
  <si>
    <t>Tons</t>
  </si>
  <si>
    <t>REINFORCED PLASTICS COMPOSITES (FIBERGLASS) FABRICATOR</t>
  </si>
  <si>
    <t>Inert Mineral Filler (Y/ N)</t>
  </si>
  <si>
    <r>
      <t xml:space="preserve">Method of Curing (Code) </t>
    </r>
    <r>
      <rPr>
        <vertAlign val="superscript"/>
        <sz val="10"/>
        <rFont val="Arial"/>
        <family val="2"/>
      </rPr>
      <t>2</t>
    </r>
  </si>
  <si>
    <t>EMISSION</t>
  </si>
  <si>
    <t>YEAR</t>
  </si>
  <si>
    <t>FORM</t>
  </si>
  <si>
    <t xml:space="preserve">METHODS OF APPLICATION </t>
  </si>
  <si>
    <t xml:space="preserve">1.  </t>
  </si>
  <si>
    <t xml:space="preserve">2.  </t>
  </si>
  <si>
    <t>METHODS OF CURING</t>
  </si>
  <si>
    <t xml:space="preserve">3.  </t>
  </si>
  <si>
    <t>EMISSION CONTROL SYSTEMS</t>
  </si>
  <si>
    <t xml:space="preserve">4.  </t>
  </si>
  <si>
    <t xml:space="preserve">5.  </t>
  </si>
  <si>
    <t>MSDS - Material Safety Data Sheet - One for each raw material.</t>
  </si>
  <si>
    <t xml:space="preserve"> OPERATION AND THROUGHPUT DATA</t>
  </si>
  <si>
    <t>RPC-O</t>
  </si>
  <si>
    <t>A</t>
  </si>
  <si>
    <t>Process</t>
  </si>
  <si>
    <t>C</t>
  </si>
  <si>
    <t>B</t>
  </si>
  <si>
    <t>Application Method</t>
  </si>
  <si>
    <t>Emission Factor (lbs/ton)</t>
  </si>
  <si>
    <t>D</t>
  </si>
  <si>
    <t>E</t>
  </si>
  <si>
    <t>F</t>
  </si>
  <si>
    <t>G</t>
  </si>
  <si>
    <t>H</t>
  </si>
  <si>
    <t>I</t>
  </si>
  <si>
    <t>J</t>
  </si>
  <si>
    <t>K</t>
  </si>
  <si>
    <t>L</t>
  </si>
  <si>
    <t>M</t>
  </si>
  <si>
    <t>N</t>
  </si>
  <si>
    <t>O</t>
  </si>
  <si>
    <t>P</t>
  </si>
  <si>
    <t>Q</t>
  </si>
  <si>
    <t>R</t>
  </si>
  <si>
    <t>S</t>
  </si>
  <si>
    <t>T</t>
  </si>
  <si>
    <t>U</t>
  </si>
  <si>
    <t>V</t>
  </si>
  <si>
    <t>Uncontrolled</t>
  </si>
  <si>
    <t>Controlled</t>
  </si>
  <si>
    <t>EMISSION CALCULATIONS</t>
  </si>
  <si>
    <t>=&lt; 33/19</t>
  </si>
  <si>
    <t>&gt; 33/19</t>
  </si>
  <si>
    <t>HAPs</t>
  </si>
  <si>
    <t>Annual Emissions</t>
  </si>
  <si>
    <t>HAPs (tpy)</t>
  </si>
  <si>
    <t>Styrene (lbs/yr)</t>
  </si>
  <si>
    <t>Methyl Methacrylate (lbs/yr)</t>
  </si>
  <si>
    <t>COMPANY NAME:</t>
  </si>
  <si>
    <t>FACILITY NAME:</t>
  </si>
  <si>
    <t>FACILITY NUMBER:</t>
  </si>
  <si>
    <t>COMPANY NUMBER:</t>
  </si>
  <si>
    <t>EMISSION YEAR:</t>
  </si>
  <si>
    <t>TOTAL</t>
  </si>
  <si>
    <t>Conversion Factors</t>
  </si>
  <si>
    <t>From</t>
  </si>
  <si>
    <t>=</t>
  </si>
  <si>
    <t>To</t>
  </si>
  <si>
    <t>Factor</t>
  </si>
  <si>
    <t>Units</t>
  </si>
  <si>
    <t>Amount</t>
  </si>
  <si>
    <t>Multiply By</t>
  </si>
  <si>
    <t>Specific Gravity</t>
  </si>
  <si>
    <t>Pounds per Gallon</t>
  </si>
  <si>
    <t>Grams per Milliliter</t>
  </si>
  <si>
    <t>Grams per Liter</t>
  </si>
  <si>
    <t>Liters</t>
  </si>
  <si>
    <t>Grams</t>
  </si>
  <si>
    <t>Ounces (fluid)</t>
  </si>
  <si>
    <t>Ounces</t>
  </si>
  <si>
    <t>I.</t>
  </si>
  <si>
    <t>II.</t>
  </si>
  <si>
    <t>III.</t>
  </si>
  <si>
    <t>IV.</t>
  </si>
  <si>
    <t>V.</t>
  </si>
  <si>
    <t>VI.</t>
  </si>
  <si>
    <t>Inert Mineral Filler</t>
  </si>
  <si>
    <t>Resin / Gelcoat</t>
  </si>
  <si>
    <t>Z</t>
  </si>
  <si>
    <t>Resin / Gelcoat (tpy)</t>
  </si>
  <si>
    <t>Solvents / Thinners/ Reducers (tpy)</t>
  </si>
  <si>
    <t>TOG (wt%)</t>
  </si>
  <si>
    <t>VOC (wt%)</t>
  </si>
  <si>
    <t>Styrene Content (wt%)</t>
  </si>
  <si>
    <t>Methyl Methacrylate Content (wt%)</t>
  </si>
  <si>
    <t xml:space="preserve">REINFORCED PLASTIC COMPOSITES (FIBERGLASS) </t>
  </si>
  <si>
    <t>RPC</t>
  </si>
  <si>
    <t>FABRICATOR</t>
  </si>
  <si>
    <t>INSTRUCTIONS</t>
  </si>
  <si>
    <t>DATA INPUT BY COMPANY or FACILITY</t>
  </si>
  <si>
    <t>CALCULATION / RESULTS</t>
  </si>
  <si>
    <t>1.</t>
  </si>
  <si>
    <t>2.</t>
  </si>
  <si>
    <t>3.</t>
  </si>
  <si>
    <t xml:space="preserve">DATA TABLE-  See footnotes on page 2 for details.  Follow the direction given by each footnote ID number assigned to that field.     </t>
  </si>
  <si>
    <t>4.</t>
  </si>
  <si>
    <t>A.</t>
  </si>
  <si>
    <t>B.</t>
  </si>
  <si>
    <t>C.</t>
  </si>
  <si>
    <t>First page will generally list Manufacturer's information, Name of Material and Product code.</t>
  </si>
  <si>
    <t>Section's "Hazardous Ingredients" or Product Identification"  will likely list the content of Styrene, Methyl Methacrylate and may list VOC content.</t>
  </si>
  <si>
    <t>The 'Physical Characteristics' section will include Density, Specific Gravity, VOC content, Vapor pressure, and % by weight VOC.</t>
  </si>
  <si>
    <t xml:space="preserve">RAW MATERIALS SPECIFICATIONS -  Use MSDS sheets provided by your chemical supplier.  MSDS sheets do not all use the same reporting scheme.  The following is a list of hints that will help to locate the information needed;   </t>
  </si>
  <si>
    <t>5.</t>
  </si>
  <si>
    <t>MANDATORY DATA - the following data is mandatory to obtain the correct calculations:</t>
  </si>
  <si>
    <t>B - Open Molding - Manual Application - Vapor-suppressed resin</t>
  </si>
  <si>
    <t>C - Open Molding - Manual Application - Vacuum bagging - Closed-mold - with Roll Out</t>
  </si>
  <si>
    <t>D - Open Molding - Manual Application - Vacuum bagging - Closed-mold - without Roll Out</t>
  </si>
  <si>
    <t>E - Open Molding - Atomized Mechanical Application - Nonvapor-suppressed resin</t>
  </si>
  <si>
    <t>F - Open Molding - Atomized Mechanical Application - Vapor-suppressed resin</t>
  </si>
  <si>
    <t>A - Open Molding - Manual Application - Nonvapor-suppressed resin</t>
  </si>
  <si>
    <t>G - Open Molding - Atomized Mechanical Application - Vacuum bagging - Closed-mold - with Roll Out</t>
  </si>
  <si>
    <t>H - Open Molding - Atomized Mechanical Application - Vacuum bagging - Closed-mold - without Roll Out</t>
  </si>
  <si>
    <t>I - Open Molding - Nonatomized Mechanical Application - Nonvapor-suppressed resin</t>
  </si>
  <si>
    <t>J - Open Molding - Nonatomized Mechanical Application - Vapor-suppressed resin</t>
  </si>
  <si>
    <t>K - Open Molding - Nonatomized Mechanical Application - Vacuum bagging - Closed-mold - with Roll Out</t>
  </si>
  <si>
    <t>L - Open Molding - Nonatomized Mechanical Application - Vacuum bagging - Closed-mold - without Roll Out</t>
  </si>
  <si>
    <t>M - Open Molding - Atomized Mechanical Application with Robotic or Automated Spray Control</t>
  </si>
  <si>
    <t>N - Open Molding - Filament Application - Nonvapor-suppressed Resin</t>
  </si>
  <si>
    <t>O - Open Molding - Filament Application - Vapor-suppressed Resin</t>
  </si>
  <si>
    <t>P - Centrifugal Casting - Heated Air Blown Through Molds - Nonvapor-suppressed Resin</t>
  </si>
  <si>
    <t>Q - Centrifugal Casting - Vented Molds with Unheated Air Blown Through - Nonvapor-suppressed Resin</t>
  </si>
  <si>
    <t>R - Closed Molding</t>
  </si>
  <si>
    <t>Z - Use of solvents, thinners , reducers, etc.</t>
  </si>
  <si>
    <t>W</t>
  </si>
  <si>
    <t>X</t>
  </si>
  <si>
    <t>Y</t>
  </si>
  <si>
    <t xml:space="preserve">   - Not needed</t>
  </si>
  <si>
    <t>Acetone / Solvents / Thinners / Reducers</t>
  </si>
  <si>
    <t>Row No.</t>
  </si>
  <si>
    <t>Styrene Content (wt%) -for Resins and Gelcoats only</t>
  </si>
  <si>
    <t>Methyl Methacrylate Content (wt%) - for Resins and Gelcoats only, can be zero</t>
  </si>
  <si>
    <t>INSTR</t>
  </si>
  <si>
    <t>Instructions (INSTR)</t>
  </si>
  <si>
    <t>Guidance and instruction on how to complete this workbook.</t>
  </si>
  <si>
    <t>Data-Collection (RPO-C)</t>
  </si>
  <si>
    <t>Emission_Cals</t>
  </si>
  <si>
    <t>Conversion factors that maybe needed to prepare data.</t>
  </si>
  <si>
    <t>This sheet provides the calculated emission factors and annual emissions.</t>
  </si>
  <si>
    <t>Equations used to calculate emissions factors for gelcoat and resins.</t>
  </si>
  <si>
    <t>Description of Data</t>
  </si>
  <si>
    <t>HARP / CEIDARS</t>
  </si>
  <si>
    <t>Certification (CER)</t>
  </si>
  <si>
    <t>Location of Facility (LOC)</t>
  </si>
  <si>
    <t>Commonly Used 'workbooks'</t>
  </si>
  <si>
    <t>Required 'workbook'</t>
  </si>
  <si>
    <t>Coating Operations</t>
  </si>
  <si>
    <t>Distance to Receptors (DIS)</t>
  </si>
  <si>
    <t>Boat Reinforced Plastic Composite Fabricators (BRPC-O)</t>
  </si>
  <si>
    <t>Stationary Fuel Combustion (SFB)</t>
  </si>
  <si>
    <t>These 'workbooks' can be downloaded from the district website as follows:</t>
  </si>
  <si>
    <t>Go to bottom of page and click on:</t>
  </si>
  <si>
    <t>Comprehensive Emissions Inventory Guidelines and Forms</t>
  </si>
  <si>
    <t>"Forms"</t>
  </si>
  <si>
    <t>Click on:</t>
  </si>
  <si>
    <t>Website:</t>
  </si>
  <si>
    <t>Pick form you are looking for.</t>
  </si>
  <si>
    <t>Other required and commonly used 'workbooks' (forms) are as follows:</t>
  </si>
  <si>
    <t>GENERAL NOTES</t>
  </si>
  <si>
    <t>Note;  If you are unable to locate any required information, contact your supplier or call the number listed on the MSDS sheet.</t>
  </si>
  <si>
    <t xml:space="preserve">The following information is need for the calculation of emissions from reinforced plastic composition (fiberglass) operations. There are at least 6 'operating factors' that effect the amount of emissions to the ambient air from fiberglass operations.  If a raw material is used with more than one 'operating factor', report its usage as a different 'Process'.  The 6 'operating factors' are as follows: </t>
  </si>
  <si>
    <t xml:space="preserve">Content or weight percent of styrene, methyl metharcylate and total volatiles </t>
  </si>
  <si>
    <r>
      <t xml:space="preserve">Type of Raw Materials - </t>
    </r>
    <r>
      <rPr>
        <i/>
        <sz val="8"/>
        <rFont val="Arial"/>
        <family val="2"/>
      </rPr>
      <t>attach the MSDS</t>
    </r>
    <r>
      <rPr>
        <i/>
        <sz val="10"/>
        <rFont val="Arial"/>
        <family val="2"/>
      </rPr>
      <t xml:space="preserve"> </t>
    </r>
    <r>
      <rPr>
        <i/>
        <vertAlign val="superscript"/>
        <sz val="10"/>
        <rFont val="Arial"/>
        <family val="2"/>
      </rPr>
      <t>5</t>
    </r>
  </si>
  <si>
    <t>Total Volatile Gas (TOG) (wt)</t>
  </si>
  <si>
    <t>Use as many sheets as needed.</t>
  </si>
  <si>
    <t>Collect the needed operational and throughput data to calculate emissions.</t>
  </si>
  <si>
    <t>PM 10</t>
  </si>
  <si>
    <t>PM 10 (tpy)</t>
  </si>
  <si>
    <t>Specific Gravity (g/ml)</t>
  </si>
  <si>
    <t>Silica {SiO2} (wt%)</t>
  </si>
  <si>
    <t>Silica {SiO2}</t>
  </si>
  <si>
    <t>Silica {SiO2} (lbs/yr)</t>
  </si>
  <si>
    <t>Volatile Organic Compounds (VOC) (wt%)</t>
  </si>
  <si>
    <t>Pollutant ID / CAS</t>
  </si>
  <si>
    <t>16113 / 43101</t>
  </si>
  <si>
    <t>1175 / 7631869</t>
  </si>
  <si>
    <t>Gel / Resin</t>
  </si>
  <si>
    <t>S/T/R</t>
  </si>
  <si>
    <t>Total</t>
  </si>
  <si>
    <t>A -Open Air</t>
  </si>
  <si>
    <t>B - Covered after Roll-Out</t>
  </si>
  <si>
    <t>C - Covered without Roll-Out</t>
  </si>
  <si>
    <t>D - Vacuum bagging / closed-mold curing with Roll-Out</t>
  </si>
  <si>
    <t>E - Vacuum bagging / closed-mold curing without Roll-Out</t>
  </si>
  <si>
    <t>F - Other - specify</t>
  </si>
  <si>
    <t>A - None</t>
  </si>
  <si>
    <t>B - Incinerator</t>
  </si>
  <si>
    <t>D - Carbon Filter</t>
  </si>
  <si>
    <t>E - Other - specify</t>
  </si>
  <si>
    <t>Type of Material</t>
  </si>
  <si>
    <t>1A</t>
  </si>
  <si>
    <t>1B</t>
  </si>
  <si>
    <t>1C</t>
  </si>
  <si>
    <t>1B - CR/HS Filament</t>
  </si>
  <si>
    <t>1C - CR/HS Manual</t>
  </si>
  <si>
    <t>MACT Limit</t>
  </si>
  <si>
    <t>Maximum HAP Limit</t>
  </si>
  <si>
    <t>Method Applied</t>
  </si>
  <si>
    <t>% HAP</t>
  </si>
  <si>
    <t>2A</t>
  </si>
  <si>
    <t>2B</t>
  </si>
  <si>
    <t>2C</t>
  </si>
  <si>
    <t>lbs/ton</t>
  </si>
  <si>
    <t>ton</t>
  </si>
  <si>
    <t>EmFac</t>
  </si>
  <si>
    <t>Material Used</t>
  </si>
  <si>
    <t>Total Emitted</t>
  </si>
  <si>
    <t>Open Molding - non-CR/HS</t>
  </si>
  <si>
    <t>Opening Molding - CR/HS</t>
  </si>
  <si>
    <t>2C - Manual</t>
  </si>
  <si>
    <t>Open Molding - Tooling</t>
  </si>
  <si>
    <t>3A</t>
  </si>
  <si>
    <t>3B</t>
  </si>
  <si>
    <t>2B - Filament</t>
  </si>
  <si>
    <t>3C</t>
  </si>
  <si>
    <t>3C - Manual</t>
  </si>
  <si>
    <t>Open Molding - Low Flame Spread/Low-smoke Products</t>
  </si>
  <si>
    <t>4B - Filament</t>
  </si>
  <si>
    <t>4C - Manual</t>
  </si>
  <si>
    <t>5B - Filament</t>
  </si>
  <si>
    <t>5C - Manual</t>
  </si>
  <si>
    <t>Open Molding - Gel Coat</t>
  </si>
  <si>
    <t>6A - Tooling Gel Coating</t>
  </si>
  <si>
    <t>6B - White/Off White Pigmented Gel Coating</t>
  </si>
  <si>
    <t>6C - All other Pigmented Gel Coating</t>
  </si>
  <si>
    <t>6D - CR/HS or High Performance Gel Coat</t>
  </si>
  <si>
    <t>6E - Fire Retardant Gel Coat</t>
  </si>
  <si>
    <t>6F - Clear Production Gel Coat</t>
  </si>
  <si>
    <t>7A - Centrifugal Casting - CR/HS</t>
  </si>
  <si>
    <t>8A - Centrifugal Casting - non-CR/HS</t>
  </si>
  <si>
    <t>9A - Pultusion</t>
  </si>
  <si>
    <r>
      <t xml:space="preserve">Method of Application (Needed to determine emissions) </t>
    </r>
    <r>
      <rPr>
        <vertAlign val="superscript"/>
        <sz val="10"/>
        <rFont val="Arial"/>
        <family val="2"/>
      </rPr>
      <t>1</t>
    </r>
  </si>
  <si>
    <t>4A</t>
  </si>
  <si>
    <t>4B</t>
  </si>
  <si>
    <t>4C</t>
  </si>
  <si>
    <t>5A</t>
  </si>
  <si>
    <t>5B</t>
  </si>
  <si>
    <t>5C</t>
  </si>
  <si>
    <t>6A</t>
  </si>
  <si>
    <t>6B</t>
  </si>
  <si>
    <t>6C</t>
  </si>
  <si>
    <t>6D</t>
  </si>
  <si>
    <t>6E</t>
  </si>
  <si>
    <t>6F</t>
  </si>
  <si>
    <t xml:space="preserve">Method of Application </t>
  </si>
  <si>
    <t xml:space="preserve">6.  </t>
  </si>
  <si>
    <t>Type of  Resin / Gelcoat (Need to determine MACT Limits)</t>
  </si>
  <si>
    <t xml:space="preserve">Type of  Resin / Gelcoat </t>
  </si>
  <si>
    <t>1B - Opening Molding CR/HS Filament</t>
  </si>
  <si>
    <t>1C - Opening Molding CR/HS Manual</t>
  </si>
  <si>
    <t>2B - Open Molding - non-CR/HS Filament</t>
  </si>
  <si>
    <t>2C - Open Molding - non-CR/HS Manual</t>
  </si>
  <si>
    <t>3C - Open Molding - Tooling Manual</t>
  </si>
  <si>
    <t>4B - Open Molding - Low Flame Spread/Low-smoke Products Filament</t>
  </si>
  <si>
    <t>4C - Open Molding - Low Flame Spread/Low-smoke Products Manual</t>
  </si>
  <si>
    <t>6A - Open Molding - Gel Coat Tooling Gel Coating</t>
  </si>
  <si>
    <t>6B - Open Molding - Gel Coat White/Off White Pigmented Gel Coating</t>
  </si>
  <si>
    <t>6C - Open Molding - Gel Coat All other Pigmented Gel Coating</t>
  </si>
  <si>
    <t>6D - Open Molding - Gel Coat CR/HS or High Performance Gel Coat</t>
  </si>
  <si>
    <t>6E - Open Molding - Gel Coat Fire Retardant Gel Coat</t>
  </si>
  <si>
    <t>6F - Open Molding - Gel Coat Clear Production Gel Coat</t>
  </si>
  <si>
    <t>MACT_Limit</t>
  </si>
  <si>
    <t>Note:  Boat Manufacturing shall use form BRPC-O to report emissions.</t>
  </si>
  <si>
    <t>Instructions and footnotes still require editing</t>
  </si>
  <si>
    <t>Total Volatile HAP (wt%)</t>
  </si>
  <si>
    <t>HAP Content (%)</t>
  </si>
  <si>
    <t>Allowed</t>
  </si>
  <si>
    <t>Actual</t>
  </si>
  <si>
    <t>Page 1</t>
  </si>
  <si>
    <t>EMISSION FACTORS (lbs HAP/ ton)</t>
  </si>
  <si>
    <t>Ems_Fac</t>
  </si>
  <si>
    <t>Inert Mineral Filler (tpy)</t>
  </si>
  <si>
    <t>Raw Material</t>
  </si>
  <si>
    <t xml:space="preserve"> Annual Emission</t>
  </si>
  <si>
    <t>Actual  (tpy)</t>
  </si>
  <si>
    <t>Allowed  (tpy)</t>
  </si>
  <si>
    <t>Total Allowed</t>
  </si>
  <si>
    <t>Compliant Material</t>
  </si>
  <si>
    <t>00</t>
  </si>
  <si>
    <t>Other Volatile HAP (wt%) - Specify</t>
  </si>
  <si>
    <t xml:space="preserve"> (wt%)</t>
  </si>
  <si>
    <t>Total HAPS (wt%)</t>
  </si>
  <si>
    <t>Other Volatiles (wt%) - Specify</t>
  </si>
  <si>
    <t>Materials that Polymerizes</t>
  </si>
  <si>
    <t>Exempt Volatiles (wt%) - Specify</t>
  </si>
  <si>
    <t>For 'Footnotes' see worksheet entitled "Footnotes".</t>
  </si>
  <si>
    <t>Other VOC Substances (wt%)</t>
  </si>
  <si>
    <t>Total VOC (wt%)</t>
  </si>
  <si>
    <t>Total Exempt Volatiles (wt%)</t>
  </si>
  <si>
    <t>Vapor Suppression Reduction Factor</t>
  </si>
  <si>
    <t>VOC</t>
  </si>
  <si>
    <t>VOC Control Efficiency (%)</t>
  </si>
  <si>
    <r>
      <t xml:space="preserve">PM Emission Control System (Code) </t>
    </r>
    <r>
      <rPr>
        <vertAlign val="superscript"/>
        <sz val="10"/>
        <rFont val="Arial"/>
        <family val="2"/>
      </rPr>
      <t>3</t>
    </r>
  </si>
  <si>
    <t>PM Control Efficiency (%)</t>
  </si>
  <si>
    <t>Kilograms</t>
  </si>
  <si>
    <t>Megagrams</t>
  </si>
  <si>
    <t>Sub - Status</t>
  </si>
  <si>
    <t>COMPLIANCE STATUS</t>
  </si>
  <si>
    <t>AVERAGE EMISSION FACTOR</t>
  </si>
  <si>
    <t>pounds per ton</t>
  </si>
  <si>
    <t>PM</t>
  </si>
  <si>
    <t>A- None</t>
  </si>
  <si>
    <t>B - Cyclone</t>
  </si>
  <si>
    <t>D - ESP</t>
  </si>
  <si>
    <t>E - Other Specify</t>
  </si>
  <si>
    <t>Furlong / Fortnight</t>
  </si>
  <si>
    <t>mph</t>
  </si>
  <si>
    <t>grams</t>
  </si>
  <si>
    <t>Meters per second</t>
  </si>
  <si>
    <t>Title of Worksheets</t>
  </si>
  <si>
    <t>Purpose of Worksheet</t>
  </si>
  <si>
    <t>HEADER-  Company, and Facility name and numbers are found on your District Operating permit.</t>
  </si>
  <si>
    <t>D.</t>
  </si>
  <si>
    <t>Type &amp; Application of  Resin / Gelcoat (Need to determine MACT Limits)</t>
  </si>
  <si>
    <t>Method of Application - See Page 2 for alpha code.  This code is used to determine actual emission factor and actual annual emissions.</t>
  </si>
  <si>
    <t>8.</t>
  </si>
  <si>
    <t>9.</t>
  </si>
  <si>
    <t>17.</t>
  </si>
  <si>
    <t xml:space="preserve">Specific Gravity  If only the density (lbs/gal) is know enter the density in row 18 by overwriting the equation in row 18. </t>
  </si>
  <si>
    <t>20.</t>
  </si>
  <si>
    <t>21.</t>
  </si>
  <si>
    <t>23 &amp; 24.</t>
  </si>
  <si>
    <t>27 &amp; 28.</t>
  </si>
  <si>
    <t>32 &amp; 33.</t>
  </si>
  <si>
    <t>35 &amp; 36.</t>
  </si>
  <si>
    <t>40 &amp; 41.</t>
  </si>
  <si>
    <t>47, 48 &amp; 49.</t>
  </si>
  <si>
    <t>Amount of Raw Material Used per Year - Material can be entered in gallons, pounds or tons.  The program converts all usage to tons, therefore use the units from your records.  Do not enter the same material more than once per column.</t>
  </si>
  <si>
    <t>44.</t>
  </si>
  <si>
    <t>45.</t>
  </si>
  <si>
    <t>If material is 'Vapor Suppressed' enter the suppressed value as a decimal - 0.00 to 0.99.</t>
  </si>
  <si>
    <t>51.</t>
  </si>
  <si>
    <t>Is this material 'Vapor Suppressed'? - Enter 'Yes' or 'No'</t>
  </si>
  <si>
    <t>55.</t>
  </si>
  <si>
    <t xml:space="preserve">Specific Gravity  If only the density (lbs/gal) is know enter the density in row 56 by overwriting the equation in row 56. </t>
  </si>
  <si>
    <t>57.</t>
  </si>
  <si>
    <t>58.</t>
  </si>
  <si>
    <t>59.</t>
  </si>
  <si>
    <t>Are 'Mineral Fillers' used? - Enter 'Yes' or 'No'.  If 'Yes' complete rows 52 through 63.</t>
  </si>
  <si>
    <t>61, 62 &amp; 63.</t>
  </si>
  <si>
    <t>64.</t>
  </si>
  <si>
    <t>Method of Curing - See Page 2 for alpha code</t>
  </si>
  <si>
    <t>65.</t>
  </si>
  <si>
    <t>VOC Emission Control System - See Page 2 for alpha code</t>
  </si>
  <si>
    <t>66.</t>
  </si>
  <si>
    <t>Control Efficiency of VOC Emission Control System as a percent (%).</t>
  </si>
  <si>
    <t>67.</t>
  </si>
  <si>
    <t>68.</t>
  </si>
  <si>
    <t>Control Efficiency of PM Emission Control System as a percent (%).</t>
  </si>
  <si>
    <t>This workbook is to be used by facilities that have 'Reinforced Plastic Composite Production' (fiberglass) process lines.  The workbook is designed to calculated emission of Hazardous Air Pollutants (HAP) by the methods required in the Maximum Achievable Control Technology (MACT) Standards per 40 CFR 63 subpart WWWW and the Volatile Organic Compounds (VOC) as required by MDAQMD Rule and/or permits.  This workbook is not be  used by boat manufacturers subject to 40 CFR 63 subpart VVVV.</t>
  </si>
  <si>
    <t>In order to make the above calculation the volatile portion of the resins, gelcoats and solvents use must be separate into three categories.  The categories are the volatile materials that polymerizies to form the product being manufactured (such as styrene and methyl metharcylate); volatiles that do not polymerizies (such as toluene, xylene and MEK);, and exempt compounds (such as acetone and water).  Furthermore. the first two categories must be separate into HAP, California Toxic Air Contaminates (TAC) and VOCs.</t>
  </si>
  <si>
    <t>Some MSDS contain the needed data to perform the required calculation is a section entitle "Regulatory Information" (normally found at the end of the MSDS.).  Some vendors have product and/or environmental data sheets with the needed information or can provide the data in other written formats.</t>
  </si>
  <si>
    <t>Use a separate column, columns "C" through "P", for each type of material used (such as gelcoat, resin, acetone, solvent, thinners, reducers, etc.).  If a material (such as gelcoat, resin, etc.) are applied using more than one "Method of Application" use a separate column for each 'Method of Application'.  This must be done because each 'Method of Application' uses a different equation to determine the emission factor and emissions.  Also, each 'Method of  Application' has a different allowable HAP content limit under the USEPA MACT Standard, 40 CFR 63 subpart WWWW.  If more columns are needed use additional 'workbooks'.</t>
  </si>
  <si>
    <t>Type &amp; Application of Resin / Gelcoat - See Page 2 for alpha code.  This code is used to determine the allowable emissions under the MACT Standard.</t>
  </si>
  <si>
    <t>Other Volatile HAPS Content (wt%) that polymerizies into the final product, can be zero.</t>
  </si>
  <si>
    <t>Other Volatile Content (wt%) that polymerizies into the final product, can be zero.</t>
  </si>
  <si>
    <t>Other Volatile HAPS Content (wt%) that do not polymerizies into the final product such as toluene and xlyene, can be zero.</t>
  </si>
  <si>
    <t>Other Volatile Content (wt%) that do not polymerizes into the final product such as MEK, can be zero.</t>
  </si>
  <si>
    <t>Exempt Volatile Content (wt%) that do not polymerizes into the final product such as acetone and water, can be zero.</t>
  </si>
  <si>
    <t>Does the 'Mineral Filler' contain any Crystalline Silica?  If so, enter the amount as a weight percent (wt%), can be zero.</t>
  </si>
  <si>
    <t xml:space="preserve">Entry the amount of mineral filler lost during material handling, and processing.  The units for this emission factor is pounds lost per ton handled.  </t>
  </si>
  <si>
    <t>Entry the ratio of resin to mineral filler.  Example 3:1 means 3 parts resin to one part mineral filler.</t>
  </si>
  <si>
    <t>Amount of Mineral Filler Used per Year - Material can be entered in gallons, pounds or tons.  The program converts all usage to tons, therefore use the units from your records.  Do not enter the same material more than once per column.</t>
  </si>
  <si>
    <t>Particulate Matter (PM) Emission Control System - See Page 2 for alpha code</t>
  </si>
  <si>
    <t>Facility's Number and/or Name for Process</t>
  </si>
  <si>
    <t>2A - Open Molding - non-CR/HS Mechanical Nonatomized</t>
  </si>
  <si>
    <t>Total Material that Polymerizes (wt%)</t>
  </si>
  <si>
    <t>C - Catalytic Converter</t>
  </si>
  <si>
    <t>C - Fabric Filter</t>
  </si>
  <si>
    <t>1A - Opening Molding CR/HS Mechanical Nonatomized</t>
  </si>
  <si>
    <t>3A - Open Molding - Tooling Mechanical Atomized</t>
  </si>
  <si>
    <t>3B - Open Molding - Tooling Mechanical Nonatomized</t>
  </si>
  <si>
    <t>4A - Open Molding - Low Flame Spread/Low-smoke Products Mechanical Nonatomized</t>
  </si>
  <si>
    <t>Open Molding - Shrinkage Controlled Resins</t>
  </si>
  <si>
    <t>5A - Open Molding - Shrinkage Controlled Resins Mechanical Nonatomized</t>
  </si>
  <si>
    <t>5B - Open Molding - Shrinkage Controlled Resins Filament</t>
  </si>
  <si>
    <t>5C - Open Molding - Shrinkage Controlled Resins Manual</t>
  </si>
  <si>
    <t>10A - Continuous Lamination / Casting</t>
  </si>
  <si>
    <t xml:space="preserve"> Material &amp; Method Applied</t>
  </si>
  <si>
    <t>Other Volatile HAPs</t>
  </si>
  <si>
    <t>Other Volatile</t>
  </si>
  <si>
    <t>Other Volatile HAPs (lbs/yr)</t>
  </si>
  <si>
    <t>Other Volatile (lbs/yr)</t>
  </si>
  <si>
    <t>Other Volatile HAPs (tpy)</t>
  </si>
  <si>
    <t>1A - CR/HS Mechanical Nonatomized</t>
  </si>
  <si>
    <t>2A - Mechanical Nonatomized</t>
  </si>
  <si>
    <t>3A - Mechanical Atomized</t>
  </si>
  <si>
    <t>3B - Mechanical Nonatomized</t>
  </si>
  <si>
    <t>4A - Mechanical Nonatomized</t>
  </si>
  <si>
    <t>5A - Mechanical Nonatomized</t>
  </si>
  <si>
    <t>Scruples</t>
  </si>
  <si>
    <t>TOTAL VOC/ROG (tpy)</t>
  </si>
  <si>
    <t>TOTAL TOG (tpy)</t>
  </si>
  <si>
    <t>Process Codes</t>
  </si>
  <si>
    <t>S - Other Resins - specify</t>
  </si>
  <si>
    <t>T - Open Molding - Gelcoat - Atomized Spray Application - Nonvapor-suppressed Gelcoat</t>
  </si>
  <si>
    <t>U - Open Molding - Gelcoat - Nonatomized Spray Application - Nonvapor-suppressed Gelcoat</t>
  </si>
  <si>
    <t>V- Open Molding - Gelcoat - Atomized Application with Robotic or Automated Spray Control</t>
  </si>
  <si>
    <t>W- Open Molding - Gelcoat - Manual Application - Nonvapor-suppressed Gelcoat</t>
  </si>
  <si>
    <t>Y - Other Gelcoat - specify</t>
  </si>
  <si>
    <t>VOC Compliance</t>
  </si>
  <si>
    <t>Permitted Limit of VOC (tpy):</t>
  </si>
  <si>
    <t>Compliance Status</t>
  </si>
  <si>
    <t>This sheet determines the MACT HAP Limits and compliance status.</t>
  </si>
  <si>
    <t>This 'workbook' consists of 7 'sheets' (spreadsheet).  The only sheet that you need to complete is the sheet entitled "'Data-Collection".  The 7 sheets are as follows:</t>
  </si>
  <si>
    <t>VOC_Comp</t>
  </si>
  <si>
    <t>TOG:</t>
  </si>
  <si>
    <t>ROG / VOC:</t>
  </si>
  <si>
    <t xml:space="preserve">|_0_|_0_|_0_|_0_|  </t>
  </si>
  <si>
    <t>|_0_|_0_|_0_|_0_|_0_|</t>
  </si>
  <si>
    <t>This sheet determines if the facility is complying with the VOC limit of District permits.</t>
  </si>
  <si>
    <t>mdaqmd.ca.gov</t>
  </si>
  <si>
    <t>FACILITY VOC LIMIT (tpy):</t>
  </si>
  <si>
    <t>Particulate Matter</t>
  </si>
  <si>
    <t>Other Volatile (tpy)</t>
  </si>
  <si>
    <t>Actual Emission (tpy):</t>
  </si>
  <si>
    <t>INSTRUCTIONS for DATA-COLLECTION</t>
  </si>
  <si>
    <t>RPC_O  2008-06</t>
  </si>
  <si>
    <t>20_ _</t>
  </si>
  <si>
    <t>20__ __</t>
  </si>
  <si>
    <t>X - Open Molding - Gelcoat - Nonatomized Spray Application - Vapor-suppressed Gelcoat</t>
  </si>
  <si>
    <t>SUBMIT THIS COMPLETED FORM TO: ENGINEERING@AVAQMD.CA.GOV</t>
  </si>
  <si>
    <t>For Questions regarding this form contact the District</t>
  </si>
  <si>
    <t>Phone:  661-723-8070</t>
  </si>
  <si>
    <t>Email:  ENGINEERING@AVAQMD.CA.GOV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</si>
</sst>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0.0"/>
    <numFmt numFmtId="165" formatCode="#,##0.000"/>
    <numFmt numFmtId="166" formatCode="0.000"/>
    <numFmt numFmtId="168" formatCode="0.00000"/>
    <numFmt numFmtId="173" formatCode="#,##0.0"/>
    <numFmt numFmtId="174" formatCode="0.000E+00"/>
    <numFmt numFmtId="176" formatCode="#,##0.00000"/>
    <numFmt numFmtId="179" formatCode="0.000000"/>
  </numFmts>
  <fonts count="44" x14ac:knownFonts="1">
    <font>
      <sz val="10"/>
      <name val="Arial"/>
    </font>
    <font>
      <sz val="10"/>
      <name val="Arial"/>
    </font>
    <font>
      <b/>
      <sz val="10"/>
      <name val="Arial"/>
      <family val="2"/>
    </font>
    <font>
      <sz val="10"/>
      <name val="Arial"/>
      <family val="2"/>
    </font>
    <font>
      <vertAlign val="superscript"/>
      <sz val="10"/>
      <name val="Arial"/>
      <family val="2"/>
    </font>
    <font>
      <b/>
      <sz val="12"/>
      <name val="Arial"/>
      <family val="2"/>
    </font>
    <font>
      <u/>
      <sz val="10"/>
      <color indexed="12"/>
      <name val="Arial"/>
      <family val="2"/>
    </font>
    <font>
      <sz val="16"/>
      <name val="Times New Roman"/>
      <family val="1"/>
    </font>
    <font>
      <b/>
      <sz val="28"/>
      <name val="Times New Roman"/>
      <family val="1"/>
    </font>
    <font>
      <sz val="20"/>
      <name val="Times New Roman"/>
      <family val="1"/>
    </font>
    <font>
      <sz val="26"/>
      <name val="Arial"/>
      <family val="2"/>
    </font>
    <font>
      <sz val="14"/>
      <name val="Arial"/>
      <family val="2"/>
    </font>
    <font>
      <sz val="20"/>
      <name val="Arial"/>
      <family val="2"/>
    </font>
    <font>
      <sz val="12"/>
      <name val="Arial"/>
      <family val="2"/>
    </font>
    <font>
      <sz val="10"/>
      <name val="Times New Roman"/>
      <family val="1"/>
    </font>
    <font>
      <b/>
      <sz val="16"/>
      <name val="Times New Roman"/>
      <family val="1"/>
    </font>
    <font>
      <sz val="12"/>
      <name val="Times New Roman"/>
      <family val="1"/>
    </font>
    <font>
      <b/>
      <sz val="12"/>
      <name val="Times New Roman"/>
      <family val="1"/>
    </font>
    <font>
      <sz val="14"/>
      <name val="Times New Roman"/>
      <family val="1"/>
    </font>
    <font>
      <i/>
      <sz val="10"/>
      <name val="Arial"/>
      <family val="2"/>
    </font>
    <font>
      <i/>
      <sz val="8"/>
      <name val="Arial"/>
      <family val="2"/>
    </font>
    <font>
      <i/>
      <vertAlign val="superscript"/>
      <sz val="10"/>
      <name val="Arial"/>
      <family val="2"/>
    </font>
    <font>
      <b/>
      <sz val="18"/>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16"/>
      <name val="Calibri"/>
      <family val="2"/>
    </font>
    <font>
      <sz val="11"/>
      <color indexed="60"/>
      <name val="Calibri"/>
      <family val="2"/>
    </font>
    <font>
      <b/>
      <sz val="11"/>
      <color indexed="8"/>
      <name val="Calibri"/>
      <family val="2"/>
    </font>
    <font>
      <sz val="11"/>
      <color indexed="62"/>
      <name val="Calibri"/>
      <family val="2"/>
    </font>
    <font>
      <b/>
      <sz val="11"/>
      <color indexed="63"/>
      <name val="Calibri"/>
      <family val="2"/>
    </font>
    <font>
      <b/>
      <sz val="11"/>
      <color indexed="53"/>
      <name val="Calibri"/>
      <family val="2"/>
    </font>
    <font>
      <sz val="11"/>
      <color indexed="53"/>
      <name val="Calibri"/>
      <family val="2"/>
    </font>
    <font>
      <b/>
      <sz val="11"/>
      <color indexed="9"/>
      <name val="Calibri"/>
      <family val="2"/>
    </font>
    <font>
      <sz val="11"/>
      <color indexed="10"/>
      <name val="Calibri"/>
      <family val="2"/>
    </font>
    <font>
      <sz val="10"/>
      <name val="Arial"/>
      <family val="2"/>
    </font>
    <font>
      <sz val="11"/>
      <color indexed="9"/>
      <name val="Calibri"/>
      <family val="2"/>
    </font>
    <font>
      <sz val="11"/>
      <color indexed="8"/>
      <name val="Calibri"/>
      <family val="2"/>
    </font>
    <font>
      <sz val="12"/>
      <color indexed="10"/>
      <name val="Times New Roman"/>
      <family val="1"/>
    </font>
    <font>
      <b/>
      <sz val="22"/>
      <name val="Arial"/>
      <family val="2"/>
    </font>
    <font>
      <sz val="8"/>
      <name val="Times New Roman"/>
      <family val="1"/>
    </font>
    <font>
      <b/>
      <sz val="11"/>
      <color theme="1"/>
      <name val="Calibri"/>
      <family val="2"/>
      <scheme val="minor"/>
    </font>
  </fonts>
  <fills count="28">
    <fill>
      <patternFill patternType="none"/>
    </fill>
    <fill>
      <patternFill patternType="gray125"/>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27"/>
      </patternFill>
    </fill>
    <fill>
      <patternFill patternType="solid">
        <fgColor indexed="41"/>
      </patternFill>
    </fill>
    <fill>
      <patternFill patternType="solid">
        <fgColor indexed="41"/>
        <bgColor indexed="64"/>
      </patternFill>
    </fill>
    <fill>
      <patternFill patternType="lightUp"/>
    </fill>
    <fill>
      <patternFill patternType="solid">
        <fgColor indexed="43"/>
      </patternFill>
    </fill>
    <fill>
      <patternFill patternType="lightDown"/>
    </fill>
    <fill>
      <patternFill patternType="solid">
        <fgColor indexed="43"/>
        <bgColor indexed="64"/>
      </patternFill>
    </fill>
    <fill>
      <patternFill patternType="solid">
        <fgColor indexed="26"/>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top/>
      <bottom style="slantDashDot">
        <color indexed="64"/>
      </bottom>
      <diagonal/>
    </border>
    <border>
      <left/>
      <right/>
      <top style="dashDot">
        <color indexed="64"/>
      </top>
      <bottom/>
      <diagonal/>
    </border>
    <border>
      <left style="double">
        <color indexed="64"/>
      </left>
      <right/>
      <top style="dashDot">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diagonalUp="1" diagonalDown="1">
      <left style="thin">
        <color indexed="64"/>
      </left>
      <right style="medium">
        <color indexed="64"/>
      </right>
      <top style="double">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slantDashDot">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medium">
        <color indexed="8"/>
      </right>
      <top/>
      <bottom/>
      <diagonal/>
    </border>
    <border>
      <left style="medium">
        <color indexed="8"/>
      </left>
      <right style="medium">
        <color indexed="8"/>
      </right>
      <top/>
      <bottom/>
      <diagonal/>
    </border>
    <border>
      <left style="medium">
        <color indexed="8"/>
      </left>
      <right/>
      <top/>
      <bottom/>
      <diagonal/>
    </border>
    <border>
      <left/>
      <right style="medium">
        <color indexed="8"/>
      </right>
      <top style="medium">
        <color indexed="64"/>
      </top>
      <bottom/>
      <diagonal/>
    </border>
    <border>
      <left style="medium">
        <color indexed="8"/>
      </left>
      <right/>
      <top style="medium">
        <color indexed="64"/>
      </top>
      <bottom/>
      <diagonal/>
    </border>
    <border>
      <left/>
      <right style="medium">
        <color indexed="8"/>
      </right>
      <top/>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diagonalDown="1">
      <left/>
      <right/>
      <top/>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s>
  <cellStyleXfs count="46">
    <xf numFmtId="0" fontId="0" fillId="0" borderId="0"/>
    <xf numFmtId="0" fontId="38" fillId="2"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9" fillId="6" borderId="0" applyNumberFormat="0" applyBorder="0" applyAlignment="0" applyProtection="0"/>
    <xf numFmtId="0" fontId="39" fillId="9" borderId="0" applyNumberFormat="0" applyBorder="0" applyAlignment="0" applyProtection="0"/>
    <xf numFmtId="0" fontId="38" fillId="7" borderId="0" applyNumberFormat="0" applyBorder="0" applyAlignment="0" applyProtection="0"/>
    <xf numFmtId="0" fontId="38" fillId="2" borderId="0" applyNumberFormat="0" applyBorder="0" applyAlignment="0" applyProtection="0"/>
    <xf numFmtId="0" fontId="39" fillId="3" borderId="0" applyNumberFormat="0" applyBorder="0" applyAlignment="0" applyProtection="0"/>
    <xf numFmtId="0" fontId="39" fillId="7" borderId="0" applyNumberFormat="0" applyBorder="0" applyAlignment="0" applyProtection="0"/>
    <xf numFmtId="0" fontId="38" fillId="7" borderId="0" applyNumberFormat="0" applyBorder="0" applyAlignment="0" applyProtection="0"/>
    <xf numFmtId="0" fontId="38" fillId="10" borderId="0" applyNumberFormat="0" applyBorder="0" applyAlignment="0" applyProtection="0"/>
    <xf numFmtId="0" fontId="39" fillId="11" borderId="0" applyNumberFormat="0" applyBorder="0" applyAlignment="0" applyProtection="0"/>
    <xf numFmtId="0" fontId="39" fillId="3" borderId="0" applyNumberFormat="0" applyBorder="0" applyAlignment="0" applyProtection="0"/>
    <xf numFmtId="0" fontId="38" fillId="4" borderId="0" applyNumberFormat="0" applyBorder="0" applyAlignment="0" applyProtection="0"/>
    <xf numFmtId="0" fontId="38" fillId="12" borderId="0" applyNumberFormat="0" applyBorder="0" applyAlignment="0" applyProtection="0"/>
    <xf numFmtId="0" fontId="39" fillId="6" borderId="0" applyNumberFormat="0" applyBorder="0" applyAlignment="0" applyProtection="0"/>
    <xf numFmtId="0" fontId="39" fillId="13" borderId="0" applyNumberFormat="0" applyBorder="0" applyAlignment="0" applyProtection="0"/>
    <xf numFmtId="0" fontId="38" fillId="13" borderId="0" applyNumberFormat="0" applyBorder="0" applyAlignment="0" applyProtection="0"/>
    <xf numFmtId="0" fontId="28" fillId="14" borderId="0" applyNumberFormat="0" applyBorder="0" applyAlignment="0" applyProtection="0"/>
    <xf numFmtId="0" fontId="33" fillId="15" borderId="1" applyNumberFormat="0" applyAlignment="0" applyProtection="0"/>
    <xf numFmtId="0" fontId="35" fillId="8" borderId="2" applyNumberFormat="0" applyAlignment="0" applyProtection="0"/>
    <xf numFmtId="43" fontId="1" fillId="0" borderId="0" applyFont="0" applyFill="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27" fillId="9"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6" fillId="0" borderId="0" applyNumberFormat="0" applyFill="0" applyBorder="0" applyAlignment="0" applyProtection="0">
      <alignment vertical="top"/>
      <protection locked="0"/>
    </xf>
    <xf numFmtId="0" fontId="31" fillId="13" borderId="1" applyNumberFormat="0" applyAlignment="0" applyProtection="0"/>
    <xf numFmtId="0" fontId="34" fillId="0" borderId="6" applyNumberFormat="0" applyFill="0" applyAlignment="0" applyProtection="0"/>
    <xf numFmtId="0" fontId="29" fillId="19" borderId="0" applyNumberFormat="0" applyBorder="0" applyAlignment="0" applyProtection="0"/>
    <xf numFmtId="0" fontId="37" fillId="6" borderId="7" applyNumberFormat="0" applyFont="0" applyAlignment="0" applyProtection="0"/>
    <xf numFmtId="0" fontId="32" fillId="15" borderId="8" applyNumberFormat="0" applyAlignment="0" applyProtection="0"/>
    <xf numFmtId="0" fontId="23" fillId="0" borderId="0" applyNumberFormat="0" applyFill="0" applyBorder="0" applyAlignment="0" applyProtection="0"/>
    <xf numFmtId="0" fontId="30" fillId="0" borderId="9" applyNumberFormat="0" applyFill="0" applyAlignment="0" applyProtection="0"/>
    <xf numFmtId="0" fontId="36" fillId="0" borderId="0" applyNumberFormat="0" applyFill="0" applyBorder="0" applyAlignment="0" applyProtection="0"/>
  </cellStyleXfs>
  <cellXfs count="445">
    <xf numFmtId="0" fontId="0" fillId="0" borderId="0" xfId="0"/>
    <xf numFmtId="0" fontId="2" fillId="0" borderId="0" xfId="0" applyFont="1" applyFill="1" applyBorder="1" applyAlignment="1">
      <alignment vertical="center"/>
    </xf>
    <xf numFmtId="0" fontId="2" fillId="0" borderId="0" xfId="0" applyFont="1" applyAlignment="1"/>
    <xf numFmtId="0" fontId="0" fillId="0" borderId="0" xfId="0" applyAlignment="1">
      <alignment horizontal="right"/>
    </xf>
    <xf numFmtId="0" fontId="3" fillId="0" borderId="0" xfId="0" applyFont="1" applyFill="1" applyBorder="1" applyAlignment="1">
      <alignment vertical="center"/>
    </xf>
    <xf numFmtId="0" fontId="3" fillId="0" borderId="0" xfId="0" applyFont="1" applyBorder="1" applyAlignment="1"/>
    <xf numFmtId="49" fontId="3" fillId="0" borderId="0" xfId="0" applyNumberFormat="1" applyFont="1" applyBorder="1" applyAlignment="1">
      <alignment horizontal="left" vertical="center"/>
    </xf>
    <xf numFmtId="0" fontId="9" fillId="0" borderId="0" xfId="0" applyFont="1" applyBorder="1" applyAlignment="1">
      <alignment horizontal="center"/>
    </xf>
    <xf numFmtId="0" fontId="8" fillId="0" borderId="0" xfId="0" applyFont="1" applyBorder="1" applyAlignment="1">
      <alignment horizontal="center" vertical="center"/>
    </xf>
    <xf numFmtId="0" fontId="7" fillId="0" borderId="0" xfId="0" applyFont="1" applyBorder="1" applyAlignment="1">
      <alignment horizontal="center"/>
    </xf>
    <xf numFmtId="0" fontId="0" fillId="0" borderId="0" xfId="0" applyBorder="1"/>
    <xf numFmtId="0" fontId="5" fillId="0" borderId="10" xfId="0" applyFont="1" applyBorder="1" applyAlignment="1">
      <alignment horizontal="center"/>
    </xf>
    <xf numFmtId="0" fontId="9" fillId="0" borderId="11" xfId="0" applyFont="1" applyBorder="1" applyAlignment="1">
      <alignment horizontal="center"/>
    </xf>
    <xf numFmtId="0" fontId="5" fillId="0" borderId="11" xfId="0" applyFont="1" applyBorder="1" applyAlignment="1">
      <alignment horizontal="center" vertical="center"/>
    </xf>
    <xf numFmtId="0" fontId="0" fillId="0" borderId="0" xfId="0" applyAlignment="1"/>
    <xf numFmtId="0" fontId="0" fillId="0" borderId="0" xfId="0" applyAlignment="1">
      <alignment horizontal="center"/>
    </xf>
    <xf numFmtId="166" fontId="0" fillId="0" borderId="0" xfId="0" applyNumberFormat="1"/>
    <xf numFmtId="0" fontId="0" fillId="0" borderId="0" xfId="0" applyBorder="1" applyAlignment="1"/>
    <xf numFmtId="0" fontId="5" fillId="0" borderId="11" xfId="0" applyFont="1" applyBorder="1" applyAlignment="1">
      <alignment horizontal="center"/>
    </xf>
    <xf numFmtId="0" fontId="2" fillId="0" borderId="0" xfId="0" applyFont="1" applyAlignment="1">
      <alignment horizontal="center"/>
    </xf>
    <xf numFmtId="0" fontId="0" fillId="0" borderId="0" xfId="0" applyBorder="1" applyAlignment="1">
      <alignment horizontal="center"/>
    </xf>
    <xf numFmtId="0" fontId="2" fillId="0" borderId="0" xfId="0" quotePrefix="1" applyFont="1" applyAlignment="1">
      <alignment horizontal="left"/>
    </xf>
    <xf numFmtId="0" fontId="2" fillId="0" borderId="0" xfId="0" applyFont="1" applyAlignment="1">
      <alignment horizontal="left"/>
    </xf>
    <xf numFmtId="0" fontId="3" fillId="0" borderId="0" xfId="0" applyFont="1" applyFill="1" applyBorder="1" applyAlignment="1">
      <alignment horizontal="center" vertical="center"/>
    </xf>
    <xf numFmtId="0" fontId="2" fillId="0" borderId="0" xfId="0" quotePrefix="1" applyFont="1" applyAlignment="1"/>
    <xf numFmtId="166" fontId="0" fillId="0" borderId="0" xfId="0" applyNumberFormat="1" applyAlignment="1"/>
    <xf numFmtId="0" fontId="0" fillId="0" borderId="0" xfId="0" applyFill="1" applyBorder="1" applyAlignment="1">
      <alignment horizontal="right"/>
    </xf>
    <xf numFmtId="0" fontId="0" fillId="0" borderId="0" xfId="0" applyBorder="1" applyAlignment="1">
      <alignment horizontal="right"/>
    </xf>
    <xf numFmtId="173" fontId="0" fillId="0" borderId="0" xfId="0" applyNumberFormat="1"/>
    <xf numFmtId="0" fontId="3" fillId="0" borderId="0"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vertical="center"/>
    </xf>
    <xf numFmtId="0" fontId="5" fillId="0" borderId="14" xfId="0" applyFont="1" applyBorder="1" applyAlignment="1">
      <alignment horizontal="right" vertical="center"/>
    </xf>
    <xf numFmtId="0" fontId="5" fillId="0" borderId="0" xfId="0" applyFont="1" applyBorder="1" applyAlignment="1">
      <alignment horizontal="right" vertical="center"/>
    </xf>
    <xf numFmtId="0" fontId="11" fillId="0" borderId="0" xfId="0" applyFont="1" applyAlignment="1">
      <alignment horizontal="center"/>
    </xf>
    <xf numFmtId="0" fontId="11" fillId="0" borderId="0" xfId="0" applyFont="1"/>
    <xf numFmtId="0" fontId="3" fillId="0" borderId="0" xfId="0" applyFont="1" applyAlignment="1">
      <alignment horizontal="center"/>
    </xf>
    <xf numFmtId="0" fontId="3" fillId="0" borderId="0" xfId="0" applyFont="1"/>
    <xf numFmtId="0" fontId="5" fillId="0" borderId="0" xfId="0" applyFont="1" applyBorder="1" applyAlignment="1">
      <alignment horizontal="right"/>
    </xf>
    <xf numFmtId="0" fontId="5" fillId="0" borderId="0" xfId="0" applyFont="1" applyAlignment="1">
      <alignment horizontal="left"/>
    </xf>
    <xf numFmtId="165" fontId="0" fillId="0" borderId="0" xfId="0" applyNumberFormat="1"/>
    <xf numFmtId="0" fontId="0" fillId="0" borderId="13" xfId="0" applyBorder="1"/>
    <xf numFmtId="0" fontId="0" fillId="0" borderId="15" xfId="0" applyBorder="1"/>
    <xf numFmtId="0" fontId="0" fillId="0" borderId="13" xfId="0" applyBorder="1" applyAlignment="1">
      <alignment horizontal="center"/>
    </xf>
    <xf numFmtId="0" fontId="0" fillId="0" borderId="15" xfId="0" applyBorder="1" applyAlignment="1">
      <alignment horizontal="center"/>
    </xf>
    <xf numFmtId="0" fontId="0" fillId="20" borderId="0" xfId="0" applyFill="1" applyBorder="1" applyProtection="1">
      <protection locked="0"/>
    </xf>
    <xf numFmtId="166" fontId="0" fillId="0" borderId="15" xfId="0" applyNumberFormat="1" applyBorder="1"/>
    <xf numFmtId="174" fontId="0" fillId="0" borderId="15" xfId="0" applyNumberFormat="1" applyBorder="1"/>
    <xf numFmtId="0" fontId="0" fillId="0" borderId="0" xfId="0" applyFill="1" applyBorder="1" applyAlignment="1">
      <alignment horizontal="center"/>
    </xf>
    <xf numFmtId="0" fontId="0" fillId="0" borderId="13" xfId="0" applyFill="1" applyBorder="1"/>
    <xf numFmtId="0" fontId="0" fillId="0" borderId="0" xfId="0" applyFill="1" applyBorder="1"/>
    <xf numFmtId="0" fontId="0" fillId="0" borderId="15" xfId="0" applyNumberFormat="1" applyBorder="1"/>
    <xf numFmtId="0" fontId="0" fillId="0" borderId="12" xfId="0" applyBorder="1"/>
    <xf numFmtId="0" fontId="0" fillId="0" borderId="14" xfId="0" applyBorder="1"/>
    <xf numFmtId="0" fontId="0" fillId="0" borderId="16" xfId="0" applyBorder="1"/>
    <xf numFmtId="0" fontId="0" fillId="0" borderId="0" xfId="0" applyProtection="1"/>
    <xf numFmtId="0" fontId="0" fillId="0" borderId="0" xfId="0" applyAlignment="1" applyProtection="1"/>
    <xf numFmtId="0" fontId="0" fillId="0" borderId="0" xfId="0" applyAlignment="1" applyProtection="1">
      <alignment vertical="center"/>
    </xf>
    <xf numFmtId="0" fontId="13" fillId="0" borderId="0" xfId="0" applyFont="1" applyBorder="1" applyAlignment="1" applyProtection="1">
      <alignment vertical="top"/>
    </xf>
    <xf numFmtId="0" fontId="0" fillId="21" borderId="17" xfId="0" applyFill="1" applyBorder="1" applyAlignment="1" applyProtection="1">
      <protection locked="0"/>
    </xf>
    <xf numFmtId="166" fontId="0" fillId="0" borderId="18" xfId="0" applyNumberFormat="1" applyBorder="1"/>
    <xf numFmtId="0" fontId="0" fillId="0" borderId="18" xfId="0" applyBorder="1" applyAlignment="1">
      <alignment horizontal="center"/>
    </xf>
    <xf numFmtId="0" fontId="0" fillId="0" borderId="19" xfId="0" applyBorder="1" applyAlignment="1">
      <alignment horizontal="right"/>
    </xf>
    <xf numFmtId="0" fontId="0" fillId="0" borderId="19" xfId="0" applyBorder="1" applyAlignment="1"/>
    <xf numFmtId="0" fontId="0" fillId="0" borderId="19" xfId="0" applyBorder="1"/>
    <xf numFmtId="0" fontId="0" fillId="21" borderId="0" xfId="0" applyFill="1" applyBorder="1" applyProtection="1">
      <protection locked="0"/>
    </xf>
    <xf numFmtId="0" fontId="0" fillId="0" borderId="19" xfId="0" applyBorder="1" applyAlignment="1">
      <alignment horizontal="center"/>
    </xf>
    <xf numFmtId="0" fontId="0" fillId="0" borderId="19" xfId="0" applyBorder="1" applyAlignment="1">
      <alignment horizontal="left"/>
    </xf>
    <xf numFmtId="0" fontId="3" fillId="0" borderId="0" xfId="0" applyFont="1" applyBorder="1" applyAlignment="1">
      <alignment vertical="center"/>
    </xf>
    <xf numFmtId="0" fontId="14" fillId="0" borderId="0" xfId="0" applyFont="1"/>
    <xf numFmtId="0" fontId="16" fillId="0" borderId="0" xfId="0" applyFont="1"/>
    <xf numFmtId="0" fontId="16" fillId="0" borderId="0" xfId="0" applyFont="1" applyBorder="1"/>
    <xf numFmtId="0" fontId="16" fillId="0" borderId="13" xfId="0" applyFont="1" applyBorder="1"/>
    <xf numFmtId="0" fontId="16" fillId="0" borderId="0" xfId="0" applyFont="1" applyBorder="1" applyAlignment="1">
      <alignment horizontal="left"/>
    </xf>
    <xf numFmtId="0" fontId="16" fillId="0" borderId="15" xfId="0" applyFont="1" applyBorder="1"/>
    <xf numFmtId="0" fontId="16" fillId="0" borderId="14" xfId="0" applyFont="1" applyBorder="1"/>
    <xf numFmtId="0" fontId="16" fillId="0" borderId="16" xfId="0" applyFont="1" applyBorder="1"/>
    <xf numFmtId="0" fontId="16" fillId="0" borderId="13" xfId="0" quotePrefix="1" applyFont="1" applyBorder="1" applyAlignment="1">
      <alignment horizontal="center" vertical="top"/>
    </xf>
    <xf numFmtId="0" fontId="16" fillId="0" borderId="13" xfId="0" applyFont="1" applyBorder="1" applyAlignment="1">
      <alignment horizontal="center" vertical="top"/>
    </xf>
    <xf numFmtId="0" fontId="16" fillId="0" borderId="12" xfId="0" applyFont="1" applyBorder="1" applyAlignment="1">
      <alignment horizontal="center" vertical="top"/>
    </xf>
    <xf numFmtId="0" fontId="16" fillId="0" borderId="0" xfId="0" applyFont="1" applyBorder="1" applyAlignment="1">
      <alignment horizontal="center" vertical="top"/>
    </xf>
    <xf numFmtId="0" fontId="16" fillId="0" borderId="0" xfId="0" applyFont="1" applyBorder="1" applyAlignment="1"/>
    <xf numFmtId="0" fontId="16" fillId="0" borderId="0" xfId="0" quotePrefix="1" applyFont="1" applyBorder="1" applyAlignment="1">
      <alignment horizontal="center" vertical="top"/>
    </xf>
    <xf numFmtId="0" fontId="6" fillId="0" borderId="0" xfId="37" applyAlignment="1" applyProtection="1"/>
    <xf numFmtId="166" fontId="0" fillId="0" borderId="0" xfId="0" applyNumberFormat="1" applyBorder="1"/>
    <xf numFmtId="168" fontId="0" fillId="0" borderId="0" xfId="0" applyNumberFormat="1"/>
    <xf numFmtId="0" fontId="0" fillId="0" borderId="20" xfId="0" applyBorder="1"/>
    <xf numFmtId="165" fontId="0" fillId="0" borderId="0" xfId="0" applyNumberFormat="1" applyBorder="1"/>
    <xf numFmtId="166" fontId="0" fillId="0" borderId="21" xfId="0" applyNumberFormat="1" applyBorder="1"/>
    <xf numFmtId="165" fontId="0" fillId="0" borderId="0" xfId="0" applyNumberFormat="1" applyBorder="1" applyAlignment="1">
      <alignment horizontal="center"/>
    </xf>
    <xf numFmtId="166" fontId="0" fillId="0" borderId="20" xfId="0" applyNumberFormat="1" applyBorder="1"/>
    <xf numFmtId="168" fontId="0" fillId="0" borderId="0" xfId="0" applyNumberFormat="1" applyBorder="1"/>
    <xf numFmtId="0" fontId="0" fillId="0" borderId="17" xfId="0" applyBorder="1" applyAlignment="1">
      <alignment horizontal="left"/>
    </xf>
    <xf numFmtId="0" fontId="10" fillId="0" borderId="0" xfId="0" applyFont="1" applyAlignment="1">
      <alignment horizontal="center"/>
    </xf>
    <xf numFmtId="0" fontId="0" fillId="0" borderId="0" xfId="0" applyAlignment="1">
      <alignment horizontal="center" vertical="top"/>
    </xf>
    <xf numFmtId="0" fontId="0" fillId="0" borderId="17" xfId="0" applyBorder="1"/>
    <xf numFmtId="0" fontId="0" fillId="0" borderId="17" xfId="0" applyBorder="1" applyAlignment="1">
      <alignment horizontal="center"/>
    </xf>
    <xf numFmtId="0" fontId="0" fillId="0" borderId="17" xfId="0" applyBorder="1" applyAlignment="1">
      <alignment horizontal="left" vertical="top" wrapText="1"/>
    </xf>
    <xf numFmtId="166" fontId="0" fillId="0" borderId="17" xfId="0" applyNumberFormat="1" applyBorder="1"/>
    <xf numFmtId="0" fontId="0" fillId="0" borderId="22" xfId="0" applyBorder="1" applyAlignment="1">
      <alignment horizontal="center" vertical="top" wrapText="1"/>
    </xf>
    <xf numFmtId="0" fontId="0" fillId="0" borderId="22" xfId="0" applyBorder="1" applyAlignment="1">
      <alignment horizontal="center" vertical="top"/>
    </xf>
    <xf numFmtId="166" fontId="0" fillId="0" borderId="23" xfId="0" applyNumberFormat="1" applyBorder="1"/>
    <xf numFmtId="0" fontId="0" fillId="0" borderId="24" xfId="0" applyBorder="1"/>
    <xf numFmtId="0" fontId="0" fillId="0" borderId="25" xfId="0" applyBorder="1"/>
    <xf numFmtId="0" fontId="5" fillId="22" borderId="14" xfId="0" applyFont="1" applyFill="1" applyBorder="1" applyAlignment="1" applyProtection="1">
      <alignment horizontal="left" vertical="center"/>
      <protection locked="0"/>
    </xf>
    <xf numFmtId="0" fontId="3" fillId="22" borderId="17" xfId="0" applyFont="1" applyFill="1" applyBorder="1" applyAlignment="1" applyProtection="1">
      <protection locked="0"/>
    </xf>
    <xf numFmtId="166" fontId="3" fillId="21" borderId="17" xfId="0" applyNumberFormat="1" applyFont="1" applyFill="1" applyBorder="1" applyAlignment="1" applyProtection="1">
      <protection locked="0"/>
    </xf>
    <xf numFmtId="0" fontId="3" fillId="22" borderId="17" xfId="0" applyFont="1" applyFill="1" applyBorder="1" applyAlignment="1" applyProtection="1">
      <alignment horizontal="center"/>
      <protection locked="0"/>
    </xf>
    <xf numFmtId="2" fontId="3" fillId="22" borderId="17" xfId="0" applyNumberFormat="1" applyFont="1" applyFill="1" applyBorder="1" applyAlignment="1" applyProtection="1">
      <protection locked="0"/>
    </xf>
    <xf numFmtId="0" fontId="0" fillId="0" borderId="26" xfId="0" applyBorder="1" applyAlignment="1">
      <alignment horizontal="center"/>
    </xf>
    <xf numFmtId="0" fontId="2" fillId="22" borderId="27" xfId="0" applyFont="1" applyFill="1" applyBorder="1" applyAlignment="1">
      <alignment horizontal="center" vertical="center"/>
    </xf>
    <xf numFmtId="0" fontId="0" fillId="0" borderId="28" xfId="0" applyBorder="1" applyAlignment="1">
      <alignment horizontal="center" vertical="top" wrapText="1"/>
    </xf>
    <xf numFmtId="0" fontId="0" fillId="0" borderId="29" xfId="0" applyBorder="1" applyAlignment="1">
      <alignment horizontal="center" vertical="top" wrapText="1"/>
    </xf>
    <xf numFmtId="166" fontId="0" fillId="0" borderId="30" xfId="0" applyNumberFormat="1" applyBorder="1" applyAlignment="1">
      <alignment horizontal="center"/>
    </xf>
    <xf numFmtId="0" fontId="0" fillId="0" borderId="17" xfId="0" quotePrefix="1" applyBorder="1" applyAlignment="1">
      <alignment horizontal="center"/>
    </xf>
    <xf numFmtId="166" fontId="3" fillId="22" borderId="17" xfId="0" applyNumberFormat="1" applyFont="1" applyFill="1" applyBorder="1" applyAlignment="1" applyProtection="1">
      <protection locked="0"/>
    </xf>
    <xf numFmtId="0" fontId="3" fillId="23" borderId="17" xfId="0" applyFont="1" applyFill="1" applyBorder="1" applyAlignment="1">
      <alignment horizontal="center"/>
    </xf>
    <xf numFmtId="2" fontId="3" fillId="24" borderId="17" xfId="0" applyNumberFormat="1" applyFont="1" applyFill="1" applyBorder="1" applyAlignment="1" applyProtection="1"/>
    <xf numFmtId="166" fontId="3" fillId="24" borderId="17" xfId="0" applyNumberFormat="1" applyFont="1" applyFill="1" applyBorder="1" applyAlignment="1" applyProtection="1"/>
    <xf numFmtId="0" fontId="37" fillId="0" borderId="0" xfId="0" applyFont="1"/>
    <xf numFmtId="0" fontId="37" fillId="0" borderId="0" xfId="0" applyFont="1" applyBorder="1"/>
    <xf numFmtId="0" fontId="37" fillId="0" borderId="0" xfId="0" applyFont="1" applyBorder="1" applyAlignment="1">
      <alignment vertical="center"/>
    </xf>
    <xf numFmtId="0" fontId="37" fillId="0" borderId="0" xfId="0" applyFont="1" applyAlignment="1">
      <alignment vertical="center"/>
    </xf>
    <xf numFmtId="0" fontId="37" fillId="0" borderId="0" xfId="0" applyFont="1" applyAlignment="1">
      <alignment horizontal="center"/>
    </xf>
    <xf numFmtId="0" fontId="37" fillId="22" borderId="22" xfId="0" applyFont="1" applyFill="1" applyBorder="1" applyAlignment="1" applyProtection="1">
      <alignment horizontal="center"/>
      <protection locked="0"/>
    </xf>
    <xf numFmtId="0" fontId="37" fillId="0" borderId="0" xfId="0" applyFont="1" applyAlignment="1">
      <alignment horizontal="left" vertical="top" wrapText="1"/>
    </xf>
    <xf numFmtId="0" fontId="37" fillId="0" borderId="0" xfId="0" applyFont="1" applyAlignment="1">
      <alignment vertical="top"/>
    </xf>
    <xf numFmtId="0" fontId="37" fillId="23" borderId="17" xfId="0" applyFont="1" applyFill="1" applyBorder="1" applyAlignment="1">
      <alignment horizontal="center"/>
    </xf>
    <xf numFmtId="0" fontId="37" fillId="22" borderId="17" xfId="0" applyFont="1" applyFill="1" applyBorder="1" applyAlignment="1" applyProtection="1">
      <protection locked="0"/>
    </xf>
    <xf numFmtId="2" fontId="37" fillId="24" borderId="17" xfId="0" applyNumberFormat="1" applyFont="1" applyFill="1" applyBorder="1" applyAlignment="1" applyProtection="1"/>
    <xf numFmtId="2" fontId="37" fillId="0" borderId="0" xfId="0" applyNumberFormat="1" applyFont="1"/>
    <xf numFmtId="166" fontId="37" fillId="0" borderId="0" xfId="0" applyNumberFormat="1" applyFont="1"/>
    <xf numFmtId="0" fontId="37" fillId="23" borderId="17" xfId="0" applyFont="1" applyFill="1" applyBorder="1" applyAlignment="1"/>
    <xf numFmtId="0" fontId="37" fillId="21" borderId="17" xfId="0" applyFont="1" applyFill="1" applyBorder="1" applyAlignment="1" applyProtection="1">
      <protection locked="0"/>
    </xf>
    <xf numFmtId="0" fontId="37" fillId="25" borderId="17" xfId="0" applyFont="1" applyFill="1" applyBorder="1" applyAlignment="1" applyProtection="1">
      <protection locked="0"/>
    </xf>
    <xf numFmtId="0" fontId="37" fillId="21" borderId="17" xfId="0" applyFont="1" applyFill="1" applyBorder="1" applyAlignment="1" applyProtection="1">
      <alignment horizontal="center"/>
      <protection locked="0"/>
    </xf>
    <xf numFmtId="2" fontId="37" fillId="21" borderId="17" xfId="0" applyNumberFormat="1" applyFont="1" applyFill="1" applyBorder="1" applyAlignment="1" applyProtection="1"/>
    <xf numFmtId="3" fontId="37" fillId="21" borderId="17" xfId="0" applyNumberFormat="1" applyFont="1" applyFill="1" applyBorder="1" applyAlignment="1" applyProtection="1">
      <protection locked="0"/>
    </xf>
    <xf numFmtId="0" fontId="37" fillId="21" borderId="31" xfId="0" applyFont="1" applyFill="1" applyBorder="1" applyAlignment="1" applyProtection="1">
      <protection locked="0"/>
    </xf>
    <xf numFmtId="0" fontId="37" fillId="0" borderId="0" xfId="0" applyFont="1" applyFill="1" applyBorder="1" applyAlignment="1"/>
    <xf numFmtId="0" fontId="37" fillId="0" borderId="0" xfId="0" applyFont="1" applyAlignment="1">
      <alignment horizontal="left"/>
    </xf>
    <xf numFmtId="0" fontId="37" fillId="0" borderId="0" xfId="0" applyFont="1" applyAlignment="1"/>
    <xf numFmtId="166" fontId="37" fillId="0" borderId="32" xfId="0" applyNumberFormat="1" applyFont="1" applyBorder="1" applyAlignment="1">
      <alignment horizontal="right"/>
    </xf>
    <xf numFmtId="0" fontId="5" fillId="22" borderId="33" xfId="0" applyFont="1" applyFill="1" applyBorder="1" applyAlignment="1" applyProtection="1">
      <alignment vertical="center"/>
      <protection locked="0"/>
    </xf>
    <xf numFmtId="0" fontId="2" fillId="0" borderId="0" xfId="0" applyFont="1" applyBorder="1" applyAlignment="1">
      <alignment horizontal="left" vertical="top"/>
    </xf>
    <xf numFmtId="166" fontId="3" fillId="26" borderId="17" xfId="0" applyNumberFormat="1" applyFont="1" applyFill="1" applyBorder="1" applyAlignment="1" applyProtection="1">
      <protection locked="0"/>
    </xf>
    <xf numFmtId="2" fontId="37" fillId="0" borderId="32" xfId="0" applyNumberFormat="1" applyFont="1" applyFill="1" applyBorder="1" applyAlignment="1">
      <alignment horizontal="right"/>
    </xf>
    <xf numFmtId="2" fontId="37" fillId="26" borderId="34" xfId="0" applyNumberFormat="1" applyFont="1" applyFill="1" applyBorder="1" applyAlignment="1">
      <alignment horizontal="right"/>
    </xf>
    <xf numFmtId="0" fontId="5" fillId="0" borderId="0" xfId="0" applyFont="1" applyFill="1" applyBorder="1" applyAlignment="1" applyProtection="1">
      <alignment vertical="center"/>
      <protection locked="0"/>
    </xf>
    <xf numFmtId="0" fontId="5" fillId="0" borderId="14" xfId="0" applyFont="1" applyFill="1" applyBorder="1" applyAlignment="1" applyProtection="1">
      <alignment horizontal="left" vertical="center"/>
      <protection locked="0"/>
    </xf>
    <xf numFmtId="0" fontId="5" fillId="0" borderId="14" xfId="0" applyFont="1" applyFill="1" applyBorder="1" applyAlignment="1">
      <alignment horizontal="right" vertical="center"/>
    </xf>
    <xf numFmtId="0" fontId="5" fillId="0" borderId="0" xfId="0" applyFont="1" applyFill="1" applyBorder="1" applyAlignment="1" applyProtection="1">
      <alignment horizontal="center" vertical="center"/>
      <protection locked="0"/>
    </xf>
    <xf numFmtId="0" fontId="5" fillId="0" borderId="0" xfId="0" applyFont="1" applyBorder="1" applyAlignment="1">
      <alignment vertical="center"/>
    </xf>
    <xf numFmtId="0" fontId="37" fillId="0" borderId="14" xfId="0" applyFont="1" applyBorder="1" applyAlignment="1">
      <alignment vertical="center"/>
    </xf>
    <xf numFmtId="0" fontId="37" fillId="0" borderId="15" xfId="0" applyFont="1" applyBorder="1"/>
    <xf numFmtId="0" fontId="37" fillId="22" borderId="35" xfId="0" applyFont="1" applyFill="1" applyBorder="1" applyAlignment="1" applyProtection="1">
      <alignment horizontal="center"/>
      <protection locked="0"/>
    </xf>
    <xf numFmtId="0" fontId="37" fillId="0" borderId="13" xfId="0" applyFont="1" applyBorder="1" applyAlignment="1">
      <alignment horizontal="center"/>
    </xf>
    <xf numFmtId="0" fontId="37" fillId="0" borderId="0" xfId="0" quotePrefix="1" applyFont="1" applyBorder="1" applyAlignment="1">
      <alignment horizontal="right"/>
    </xf>
    <xf numFmtId="2" fontId="0" fillId="0" borderId="0" xfId="0" applyNumberFormat="1"/>
    <xf numFmtId="176" fontId="0" fillId="0" borderId="0" xfId="0" applyNumberFormat="1" applyBorder="1"/>
    <xf numFmtId="165" fontId="0" fillId="27" borderId="0" xfId="0" applyNumberFormat="1" applyFill="1" applyBorder="1"/>
    <xf numFmtId="179" fontId="0" fillId="0" borderId="15" xfId="0" applyNumberFormat="1" applyBorder="1"/>
    <xf numFmtId="168" fontId="0" fillId="0" borderId="15" xfId="0" applyNumberFormat="1" applyBorder="1"/>
    <xf numFmtId="0" fontId="0" fillId="0" borderId="34" xfId="0" applyBorder="1" applyAlignment="1">
      <alignment horizontal="left" vertical="top" wrapText="1"/>
    </xf>
    <xf numFmtId="43" fontId="0" fillId="0" borderId="0" xfId="28" applyFont="1" applyBorder="1" applyAlignment="1">
      <alignment horizontal="center"/>
    </xf>
    <xf numFmtId="166" fontId="0" fillId="0" borderId="36" xfId="0" applyNumberFormat="1" applyBorder="1"/>
    <xf numFmtId="0" fontId="0" fillId="0" borderId="37" xfId="0" applyBorder="1"/>
    <xf numFmtId="166" fontId="0" fillId="0" borderId="38" xfId="0" applyNumberFormat="1" applyBorder="1"/>
    <xf numFmtId="164" fontId="0" fillId="0" borderId="17" xfId="0" applyNumberFormat="1" applyBorder="1"/>
    <xf numFmtId="0" fontId="40" fillId="0" borderId="13" xfId="0" applyFont="1" applyBorder="1" applyAlignment="1">
      <alignment horizontal="center"/>
    </xf>
    <xf numFmtId="0" fontId="40" fillId="0" borderId="0" xfId="0" applyFont="1" applyBorder="1" applyAlignment="1">
      <alignment horizontal="center"/>
    </xf>
    <xf numFmtId="0" fontId="40" fillId="0" borderId="15" xfId="0" applyFont="1" applyBorder="1" applyAlignment="1">
      <alignment horizontal="center"/>
    </xf>
    <xf numFmtId="0" fontId="0" fillId="0" borderId="39" xfId="0" applyBorder="1" applyAlignment="1">
      <alignment horizontal="center" vertical="top" wrapText="1"/>
    </xf>
    <xf numFmtId="0" fontId="0" fillId="0" borderId="40" xfId="0" applyBorder="1" applyAlignment="1">
      <alignment horizontal="center" vertical="top" wrapText="1"/>
    </xf>
    <xf numFmtId="0" fontId="0" fillId="0" borderId="41" xfId="0" applyBorder="1" applyAlignment="1"/>
    <xf numFmtId="176" fontId="0" fillId="27" borderId="0" xfId="0" applyNumberFormat="1" applyFill="1" applyBorder="1"/>
    <xf numFmtId="0" fontId="16" fillId="0" borderId="13" xfId="0" applyFont="1" applyBorder="1" applyAlignment="1">
      <alignment horizontal="left" wrapText="1"/>
    </xf>
    <xf numFmtId="0" fontId="16" fillId="0" borderId="0" xfId="0" applyFont="1" applyBorder="1" applyAlignment="1">
      <alignment horizontal="left" wrapText="1"/>
    </xf>
    <xf numFmtId="0" fontId="16" fillId="0" borderId="15" xfId="0" applyFont="1" applyBorder="1" applyAlignment="1">
      <alignment horizontal="left" wrapText="1"/>
    </xf>
    <xf numFmtId="0" fontId="16" fillId="0" borderId="0" xfId="0" quotePrefix="1" applyFont="1" applyBorder="1" applyAlignment="1">
      <alignment horizontal="center" vertical="top" wrapText="1"/>
    </xf>
    <xf numFmtId="0" fontId="5" fillId="0" borderId="0" xfId="0" applyFont="1" applyFill="1" applyBorder="1" applyAlignment="1">
      <alignment horizontal="right" vertical="center"/>
    </xf>
    <xf numFmtId="164" fontId="5" fillId="0" borderId="0" xfId="0" applyNumberFormat="1" applyFont="1" applyAlignment="1">
      <alignment horizontal="center"/>
    </xf>
    <xf numFmtId="0" fontId="5" fillId="0" borderId="0" xfId="0" applyFont="1"/>
    <xf numFmtId="0" fontId="5" fillId="0" borderId="0" xfId="0" applyFont="1" applyAlignment="1">
      <alignment horizontal="center"/>
    </xf>
    <xf numFmtId="49" fontId="37" fillId="21" borderId="17" xfId="0" applyNumberFormat="1" applyFont="1" applyFill="1" applyBorder="1" applyAlignment="1" applyProtection="1">
      <alignment horizontal="center"/>
      <protection locked="0"/>
    </xf>
    <xf numFmtId="0" fontId="1" fillId="22" borderId="17" xfId="0" applyFont="1" applyFill="1" applyBorder="1" applyAlignment="1" applyProtection="1">
      <alignment horizontal="left" vertical="top" wrapText="1"/>
      <protection locked="0"/>
    </xf>
    <xf numFmtId="0" fontId="1" fillId="21" borderId="17" xfId="0" applyFont="1" applyFill="1" applyBorder="1" applyAlignment="1" applyProtection="1">
      <alignment horizontal="left" vertical="top" wrapText="1"/>
      <protection locked="0"/>
    </xf>
    <xf numFmtId="0" fontId="1" fillId="23" borderId="17" xfId="0" applyFont="1" applyFill="1" applyBorder="1" applyAlignment="1">
      <alignment horizontal="center"/>
    </xf>
    <xf numFmtId="49" fontId="1" fillId="21" borderId="17" xfId="0" applyNumberFormat="1" applyFont="1" applyFill="1" applyBorder="1" applyAlignment="1">
      <alignment horizontal="center"/>
    </xf>
    <xf numFmtId="0" fontId="1" fillId="22" borderId="17" xfId="0" applyFont="1" applyFill="1" applyBorder="1" applyAlignment="1" applyProtection="1">
      <protection locked="0"/>
    </xf>
    <xf numFmtId="0" fontId="1" fillId="22" borderId="17" xfId="0" applyFont="1" applyFill="1" applyBorder="1" applyAlignment="1" applyProtection="1">
      <alignment horizontal="left"/>
      <protection locked="0"/>
    </xf>
    <xf numFmtId="11" fontId="1" fillId="22" borderId="17" xfId="0" applyNumberFormat="1" applyFont="1" applyFill="1" applyBorder="1" applyAlignment="1" applyProtection="1">
      <protection locked="0"/>
    </xf>
    <xf numFmtId="0" fontId="1" fillId="22" borderId="42" xfId="0" applyFont="1" applyFill="1" applyBorder="1" applyAlignment="1" applyProtection="1">
      <protection locked="0"/>
    </xf>
    <xf numFmtId="0" fontId="1" fillId="22" borderId="17" xfId="0" applyFont="1" applyFill="1" applyBorder="1" applyProtection="1">
      <protection locked="0"/>
    </xf>
    <xf numFmtId="0" fontId="1" fillId="22" borderId="23" xfId="0" applyFont="1" applyFill="1" applyBorder="1" applyProtection="1">
      <protection locked="0"/>
    </xf>
    <xf numFmtId="166" fontId="3" fillId="22" borderId="23" xfId="0" applyNumberFormat="1" applyFont="1" applyFill="1" applyBorder="1" applyAlignment="1" applyProtection="1">
      <protection locked="0"/>
    </xf>
    <xf numFmtId="166" fontId="3" fillId="22" borderId="42" xfId="0" applyNumberFormat="1" applyFont="1" applyFill="1" applyBorder="1" applyAlignment="1" applyProtection="1">
      <protection locked="0"/>
    </xf>
    <xf numFmtId="166" fontId="3" fillId="22" borderId="17" xfId="0" applyNumberFormat="1" applyFont="1" applyFill="1" applyBorder="1" applyProtection="1">
      <protection locked="0"/>
    </xf>
    <xf numFmtId="166" fontId="3" fillId="22" borderId="23" xfId="0" applyNumberFormat="1" applyFont="1" applyFill="1" applyBorder="1" applyProtection="1">
      <protection locked="0"/>
    </xf>
    <xf numFmtId="0" fontId="3" fillId="22" borderId="17" xfId="0" applyFont="1" applyFill="1" applyBorder="1" applyAlignment="1" applyProtection="1">
      <alignment vertical="center"/>
      <protection locked="0"/>
    </xf>
    <xf numFmtId="0" fontId="1" fillId="22" borderId="30" xfId="0" applyFont="1" applyFill="1" applyBorder="1" applyAlignment="1" applyProtection="1">
      <protection locked="0"/>
    </xf>
    <xf numFmtId="0" fontId="37" fillId="22" borderId="43" xfId="0" applyFont="1" applyFill="1" applyBorder="1" applyAlignment="1" applyProtection="1">
      <alignment horizontal="center"/>
      <protection locked="0"/>
    </xf>
    <xf numFmtId="0" fontId="1" fillId="22" borderId="42" xfId="0" applyFont="1" applyFill="1" applyBorder="1" applyAlignment="1" applyProtection="1">
      <alignment horizontal="left" vertical="top" wrapText="1"/>
      <protection locked="0"/>
    </xf>
    <xf numFmtId="0" fontId="1" fillId="21" borderId="42" xfId="0" applyFont="1" applyFill="1" applyBorder="1" applyAlignment="1" applyProtection="1">
      <alignment horizontal="left" vertical="top" wrapText="1"/>
      <protection locked="0"/>
    </xf>
    <xf numFmtId="0" fontId="1" fillId="23" borderId="42" xfId="0" applyFont="1" applyFill="1" applyBorder="1" applyAlignment="1">
      <alignment horizontal="center"/>
    </xf>
    <xf numFmtId="0" fontId="1" fillId="22" borderId="42" xfId="0" applyFont="1" applyFill="1" applyBorder="1" applyAlignment="1" applyProtection="1">
      <alignment horizontal="left"/>
      <protection locked="0"/>
    </xf>
    <xf numFmtId="0" fontId="1" fillId="22" borderId="42" xfId="0" applyFont="1" applyFill="1" applyBorder="1" applyProtection="1">
      <protection locked="0"/>
    </xf>
    <xf numFmtId="0" fontId="3" fillId="22" borderId="42" xfId="0" applyFont="1" applyFill="1" applyBorder="1" applyAlignment="1" applyProtection="1">
      <protection locked="0"/>
    </xf>
    <xf numFmtId="2" fontId="37" fillId="24" borderId="42" xfId="0" applyNumberFormat="1" applyFont="1" applyFill="1" applyBorder="1" applyAlignment="1" applyProtection="1"/>
    <xf numFmtId="0" fontId="37" fillId="23" borderId="42" xfId="0" applyFont="1" applyFill="1" applyBorder="1" applyAlignment="1">
      <alignment horizontal="center"/>
    </xf>
    <xf numFmtId="166" fontId="3" fillId="22" borderId="42" xfId="0" applyNumberFormat="1" applyFont="1" applyFill="1" applyBorder="1" applyProtection="1">
      <protection locked="0"/>
    </xf>
    <xf numFmtId="0" fontId="3" fillId="23" borderId="42" xfId="0" applyFont="1" applyFill="1" applyBorder="1" applyAlignment="1">
      <alignment horizontal="center"/>
    </xf>
    <xf numFmtId="166" fontId="3" fillId="21" borderId="42" xfId="0" applyNumberFormat="1" applyFont="1" applyFill="1" applyBorder="1" applyAlignment="1" applyProtection="1">
      <protection locked="0"/>
    </xf>
    <xf numFmtId="2" fontId="3" fillId="24" borderId="42" xfId="0" applyNumberFormat="1" applyFont="1" applyFill="1" applyBorder="1" applyAlignment="1" applyProtection="1"/>
    <xf numFmtId="166" fontId="3" fillId="26" borderId="42" xfId="0" applyNumberFormat="1" applyFont="1" applyFill="1" applyBorder="1" applyAlignment="1" applyProtection="1">
      <protection locked="0"/>
    </xf>
    <xf numFmtId="166" fontId="3" fillId="24" borderId="42" xfId="0" applyNumberFormat="1" applyFont="1" applyFill="1" applyBorder="1" applyAlignment="1" applyProtection="1"/>
    <xf numFmtId="0" fontId="3" fillId="22" borderId="42" xfId="0" applyFont="1" applyFill="1" applyBorder="1" applyAlignment="1" applyProtection="1">
      <alignment horizontal="center"/>
      <protection locked="0"/>
    </xf>
    <xf numFmtId="2" fontId="3" fillId="22" borderId="42" xfId="0" applyNumberFormat="1" applyFont="1" applyFill="1" applyBorder="1" applyAlignment="1" applyProtection="1">
      <protection locked="0"/>
    </xf>
    <xf numFmtId="0" fontId="37" fillId="23" borderId="42" xfId="0" applyFont="1" applyFill="1" applyBorder="1" applyAlignment="1"/>
    <xf numFmtId="0" fontId="37" fillId="22" borderId="42" xfId="0" applyFont="1" applyFill="1" applyBorder="1" applyAlignment="1" applyProtection="1">
      <protection locked="0"/>
    </xf>
    <xf numFmtId="0" fontId="37" fillId="21" borderId="42" xfId="0" applyFont="1" applyFill="1" applyBorder="1" applyAlignment="1" applyProtection="1">
      <protection locked="0"/>
    </xf>
    <xf numFmtId="0" fontId="37" fillId="25" borderId="42" xfId="0" applyFont="1" applyFill="1" applyBorder="1" applyAlignment="1" applyProtection="1">
      <protection locked="0"/>
    </xf>
    <xf numFmtId="0" fontId="37" fillId="21" borderId="42" xfId="0" applyFont="1" applyFill="1" applyBorder="1" applyAlignment="1" applyProtection="1">
      <alignment horizontal="center"/>
      <protection locked="0"/>
    </xf>
    <xf numFmtId="2" fontId="37" fillId="21" borderId="42" xfId="0" applyNumberFormat="1" applyFont="1" applyFill="1" applyBorder="1" applyAlignment="1" applyProtection="1"/>
    <xf numFmtId="3" fontId="37" fillId="21" borderId="42" xfId="0" applyNumberFormat="1" applyFont="1" applyFill="1" applyBorder="1" applyAlignment="1" applyProtection="1">
      <protection locked="0"/>
    </xf>
    <xf numFmtId="0" fontId="1" fillId="22" borderId="44" xfId="0" applyFont="1" applyFill="1" applyBorder="1" applyAlignment="1" applyProtection="1">
      <protection locked="0"/>
    </xf>
    <xf numFmtId="0" fontId="37" fillId="21" borderId="45" xfId="0" applyFont="1" applyFill="1" applyBorder="1" applyAlignment="1" applyProtection="1">
      <protection locked="0"/>
    </xf>
    <xf numFmtId="0" fontId="1" fillId="23" borderId="23" xfId="0" applyFont="1" applyFill="1" applyBorder="1" applyAlignment="1">
      <alignment horizontal="center"/>
    </xf>
    <xf numFmtId="2" fontId="37" fillId="24" borderId="23" xfId="0" applyNumberFormat="1" applyFont="1" applyFill="1" applyBorder="1" applyAlignment="1" applyProtection="1"/>
    <xf numFmtId="0" fontId="37" fillId="23" borderId="23" xfId="0" applyFont="1" applyFill="1" applyBorder="1" applyAlignment="1">
      <alignment horizontal="center"/>
    </xf>
    <xf numFmtId="0" fontId="3" fillId="23" borderId="23" xfId="0" applyFont="1" applyFill="1" applyBorder="1" applyAlignment="1">
      <alignment horizontal="center"/>
    </xf>
    <xf numFmtId="166" fontId="3" fillId="21" borderId="23" xfId="0" applyNumberFormat="1" applyFont="1" applyFill="1" applyBorder="1" applyAlignment="1" applyProtection="1">
      <protection locked="0"/>
    </xf>
    <xf numFmtId="2" fontId="3" fillId="24" borderId="23" xfId="0" applyNumberFormat="1" applyFont="1" applyFill="1" applyBorder="1" applyAlignment="1" applyProtection="1"/>
    <xf numFmtId="166" fontId="3" fillId="26" borderId="23" xfId="0" applyNumberFormat="1" applyFont="1" applyFill="1" applyBorder="1" applyAlignment="1" applyProtection="1">
      <protection locked="0"/>
    </xf>
    <xf numFmtId="166" fontId="3" fillId="24" borderId="23" xfId="0" applyNumberFormat="1" applyFont="1" applyFill="1" applyBorder="1" applyAlignment="1" applyProtection="1"/>
    <xf numFmtId="0" fontId="3" fillId="22" borderId="23" xfId="0" applyFont="1" applyFill="1" applyBorder="1" applyAlignment="1" applyProtection="1">
      <alignment horizontal="center"/>
      <protection locked="0"/>
    </xf>
    <xf numFmtId="2" fontId="3" fillId="22" borderId="23" xfId="0" applyNumberFormat="1" applyFont="1" applyFill="1" applyBorder="1" applyAlignment="1" applyProtection="1">
      <protection locked="0"/>
    </xf>
    <xf numFmtId="0" fontId="37" fillId="23" borderId="23" xfId="0" applyFont="1" applyFill="1" applyBorder="1" applyAlignment="1"/>
    <xf numFmtId="0" fontId="37" fillId="22" borderId="23" xfId="0" applyFont="1" applyFill="1" applyBorder="1" applyAlignment="1" applyProtection="1">
      <protection locked="0"/>
    </xf>
    <xf numFmtId="0" fontId="37" fillId="21" borderId="23" xfId="0" applyFont="1" applyFill="1" applyBorder="1" applyAlignment="1" applyProtection="1">
      <protection locked="0"/>
    </xf>
    <xf numFmtId="0" fontId="37" fillId="25" borderId="23" xfId="0" applyFont="1" applyFill="1" applyBorder="1" applyAlignment="1" applyProtection="1">
      <protection locked="0"/>
    </xf>
    <xf numFmtId="0" fontId="37" fillId="21" borderId="23" xfId="0" applyFont="1" applyFill="1" applyBorder="1" applyAlignment="1" applyProtection="1">
      <alignment horizontal="center"/>
      <protection locked="0"/>
    </xf>
    <xf numFmtId="2" fontId="37" fillId="21" borderId="23" xfId="0" applyNumberFormat="1" applyFont="1" applyFill="1" applyBorder="1" applyAlignment="1" applyProtection="1"/>
    <xf numFmtId="3" fontId="37" fillId="21" borderId="23" xfId="0" applyNumberFormat="1" applyFont="1" applyFill="1" applyBorder="1" applyAlignment="1" applyProtection="1">
      <protection locked="0"/>
    </xf>
    <xf numFmtId="0" fontId="1" fillId="22" borderId="23" xfId="0" applyFont="1" applyFill="1" applyBorder="1" applyAlignment="1" applyProtection="1">
      <protection locked="0"/>
    </xf>
    <xf numFmtId="0" fontId="37" fillId="21" borderId="46" xfId="0" applyFont="1" applyFill="1" applyBorder="1" applyAlignment="1" applyProtection="1">
      <protection locked="0"/>
    </xf>
    <xf numFmtId="0" fontId="0" fillId="0" borderId="47" xfId="0" applyBorder="1"/>
    <xf numFmtId="166" fontId="0" fillId="0" borderId="47" xfId="0" applyNumberFormat="1" applyBorder="1"/>
    <xf numFmtId="166" fontId="0" fillId="0" borderId="48" xfId="0" applyNumberFormat="1" applyBorder="1"/>
    <xf numFmtId="0" fontId="1" fillId="22" borderId="23" xfId="0" applyFont="1" applyFill="1" applyBorder="1" applyAlignment="1" applyProtection="1">
      <alignment horizontal="left" vertical="top" wrapText="1"/>
      <protection locked="0"/>
    </xf>
    <xf numFmtId="0" fontId="1" fillId="21" borderId="23" xfId="0" applyFont="1" applyFill="1" applyBorder="1" applyAlignment="1" applyProtection="1">
      <alignment horizontal="left" vertical="top" wrapText="1"/>
      <protection locked="0"/>
    </xf>
    <xf numFmtId="0" fontId="3" fillId="22" borderId="23" xfId="0" applyFont="1" applyFill="1" applyBorder="1" applyAlignment="1" applyProtection="1">
      <protection locked="0"/>
    </xf>
    <xf numFmtId="0" fontId="8" fillId="0" borderId="16" xfId="0" applyFont="1" applyBorder="1" applyAlignment="1">
      <alignment horizontal="center" vertical="center"/>
    </xf>
    <xf numFmtId="0" fontId="37" fillId="22" borderId="0" xfId="0" applyFont="1" applyFill="1" applyBorder="1" applyAlignment="1">
      <alignment horizontal="center" vertical="center"/>
    </xf>
    <xf numFmtId="0" fontId="5" fillId="22" borderId="14" xfId="0" applyFont="1" applyFill="1" applyBorder="1" applyAlignment="1">
      <alignment horizontal="left" vertical="center"/>
    </xf>
    <xf numFmtId="0" fontId="37" fillId="0" borderId="49" xfId="0" applyFont="1" applyBorder="1"/>
    <xf numFmtId="166" fontId="0" fillId="0" borderId="26" xfId="0" quotePrefix="1" applyNumberFormat="1" applyBorder="1" applyAlignment="1">
      <alignment horizontal="center"/>
    </xf>
    <xf numFmtId="166" fontId="0" fillId="0" borderId="50" xfId="0" applyNumberFormat="1" applyBorder="1" applyAlignment="1">
      <alignment horizontal="center"/>
    </xf>
    <xf numFmtId="165" fontId="0" fillId="0" borderId="26" xfId="0" applyNumberFormat="1" applyBorder="1"/>
    <xf numFmtId="165" fontId="0" fillId="0" borderId="50" xfId="0" applyNumberFormat="1" applyBorder="1"/>
    <xf numFmtId="165" fontId="0" fillId="0" borderId="26" xfId="0" applyNumberFormat="1" applyFill="1" applyBorder="1"/>
    <xf numFmtId="165" fontId="0" fillId="0" borderId="50" xfId="0" applyNumberFormat="1" applyFill="1" applyBorder="1"/>
    <xf numFmtId="166" fontId="0" fillId="0" borderId="26" xfId="0" applyNumberFormat="1" applyBorder="1"/>
    <xf numFmtId="166" fontId="0" fillId="0" borderId="50" xfId="0" applyNumberFormat="1" applyBorder="1"/>
    <xf numFmtId="0" fontId="0" fillId="0" borderId="26" xfId="0" applyBorder="1"/>
    <xf numFmtId="0" fontId="0" fillId="0" borderId="50" xfId="0" applyBorder="1"/>
    <xf numFmtId="0" fontId="3" fillId="0" borderId="26" xfId="0" applyFont="1" applyBorder="1" applyAlignment="1">
      <alignment horizontal="center" vertical="center"/>
    </xf>
    <xf numFmtId="0" fontId="3" fillId="0" borderId="50" xfId="0" applyFont="1" applyBorder="1" applyAlignment="1">
      <alignment horizontal="center" vertical="center"/>
    </xf>
    <xf numFmtId="0" fontId="0" fillId="0" borderId="50" xfId="0" applyBorder="1" applyAlignment="1">
      <alignment horizontal="right"/>
    </xf>
    <xf numFmtId="0" fontId="0" fillId="0" borderId="51" xfId="0" applyBorder="1"/>
    <xf numFmtId="49" fontId="1" fillId="21" borderId="17" xfId="0" applyNumberFormat="1" applyFont="1" applyFill="1" applyBorder="1" applyAlignment="1" applyProtection="1">
      <alignment horizontal="center"/>
      <protection locked="0"/>
    </xf>
    <xf numFmtId="49" fontId="1" fillId="21" borderId="42" xfId="0" applyNumberFormat="1" applyFont="1" applyFill="1" applyBorder="1" applyAlignment="1" applyProtection="1">
      <alignment horizontal="center"/>
      <protection locked="0"/>
    </xf>
    <xf numFmtId="49" fontId="1" fillId="21" borderId="23" xfId="0" applyNumberFormat="1" applyFont="1" applyFill="1" applyBorder="1" applyAlignment="1" applyProtection="1">
      <alignment horizontal="center"/>
      <protection locked="0"/>
    </xf>
    <xf numFmtId="0" fontId="16" fillId="0" borderId="0" xfId="0" applyFont="1" applyAlignment="1">
      <alignment horizontal="left"/>
    </xf>
    <xf numFmtId="0" fontId="42" fillId="0" borderId="0" xfId="0" applyFont="1" applyAlignment="1">
      <alignment horizontal="right"/>
    </xf>
    <xf numFmtId="0" fontId="0" fillId="0" borderId="0" xfId="0" applyAlignment="1">
      <alignment horizontal="left"/>
    </xf>
    <xf numFmtId="0" fontId="3" fillId="0" borderId="0" xfId="0" applyFont="1" applyFill="1" applyBorder="1" applyAlignment="1">
      <alignment horizontal="left" vertical="center"/>
    </xf>
    <xf numFmtId="0" fontId="16" fillId="0" borderId="0" xfId="0" applyFont="1" applyBorder="1" applyAlignment="1">
      <alignment horizontal="left"/>
    </xf>
    <xf numFmtId="0" fontId="16" fillId="0" borderId="0" xfId="0" applyFont="1" applyBorder="1" applyAlignment="1">
      <alignment vertical="top" wrapText="1"/>
    </xf>
    <xf numFmtId="0" fontId="16" fillId="0" borderId="0" xfId="0" applyFont="1" applyBorder="1" applyAlignment="1">
      <alignment horizontal="left" vertical="top" wrapText="1"/>
    </xf>
    <xf numFmtId="0" fontId="0" fillId="0" borderId="0" xfId="0" applyAlignment="1">
      <alignment vertical="top" wrapText="1"/>
    </xf>
    <xf numFmtId="0" fontId="16" fillId="0" borderId="0" xfId="0" applyFont="1" applyBorder="1" applyAlignment="1"/>
    <xf numFmtId="0" fontId="18" fillId="0" borderId="13" xfId="0" applyFont="1" applyBorder="1" applyAlignment="1">
      <alignment vertical="top" wrapText="1"/>
    </xf>
    <xf numFmtId="0" fontId="18" fillId="0" borderId="0" xfId="0" applyFont="1" applyBorder="1" applyAlignment="1">
      <alignment vertical="top" wrapText="1"/>
    </xf>
    <xf numFmtId="0" fontId="18" fillId="0" borderId="15" xfId="0" applyFont="1" applyBorder="1" applyAlignment="1">
      <alignment vertical="top" wrapText="1"/>
    </xf>
    <xf numFmtId="0" fontId="16" fillId="0" borderId="0" xfId="0" applyFont="1" applyBorder="1" applyAlignment="1">
      <alignment wrapText="1"/>
    </xf>
    <xf numFmtId="0" fontId="16" fillId="0" borderId="15" xfId="0" applyFont="1" applyBorder="1" applyAlignment="1">
      <alignment wrapText="1"/>
    </xf>
    <xf numFmtId="0" fontId="6" fillId="0" borderId="0" xfId="37" applyAlignment="1" applyProtection="1">
      <alignment horizontal="left"/>
    </xf>
    <xf numFmtId="0" fontId="0" fillId="0" borderId="0" xfId="0" applyBorder="1" applyAlignment="1">
      <alignment vertical="top" wrapText="1"/>
    </xf>
    <xf numFmtId="0" fontId="0" fillId="0" borderId="0" xfId="0" applyAlignment="1"/>
    <xf numFmtId="0" fontId="18" fillId="0" borderId="13" xfId="0" applyFont="1" applyBorder="1" applyAlignment="1"/>
    <xf numFmtId="0" fontId="18" fillId="0" borderId="0" xfId="0" applyFont="1" applyBorder="1" applyAlignment="1"/>
    <xf numFmtId="0" fontId="16" fillId="20" borderId="52" xfId="0" applyFont="1" applyFill="1" applyBorder="1" applyAlignment="1">
      <alignment horizontal="center" vertical="center" wrapText="1"/>
    </xf>
    <xf numFmtId="0" fontId="16" fillId="20" borderId="24" xfId="0" applyFont="1" applyFill="1" applyBorder="1" applyAlignment="1">
      <alignment horizontal="center" vertical="center" wrapText="1"/>
    </xf>
    <xf numFmtId="0" fontId="16" fillId="20" borderId="25" xfId="0" applyFont="1" applyFill="1" applyBorder="1" applyAlignment="1">
      <alignment horizontal="center" vertical="center" wrapText="1"/>
    </xf>
    <xf numFmtId="0" fontId="16" fillId="20" borderId="12" xfId="0" applyFont="1" applyFill="1" applyBorder="1" applyAlignment="1">
      <alignment horizontal="center" vertical="center" wrapText="1"/>
    </xf>
    <xf numFmtId="0" fontId="16" fillId="20" borderId="14" xfId="0" applyFont="1" applyFill="1" applyBorder="1" applyAlignment="1">
      <alignment horizontal="center" vertical="center" wrapText="1"/>
    </xf>
    <xf numFmtId="0" fontId="16" fillId="20" borderId="16" xfId="0" applyFont="1" applyFill="1" applyBorder="1" applyAlignment="1">
      <alignment horizontal="center" vertical="center" wrapText="1"/>
    </xf>
    <xf numFmtId="0" fontId="16" fillId="24" borderId="52" xfId="0" applyFont="1" applyFill="1" applyBorder="1" applyAlignment="1">
      <alignment horizontal="center" vertical="center"/>
    </xf>
    <xf numFmtId="0" fontId="16" fillId="24" borderId="24" xfId="0" applyFont="1" applyFill="1" applyBorder="1" applyAlignment="1">
      <alignment horizontal="center" vertical="center"/>
    </xf>
    <xf numFmtId="0" fontId="16" fillId="24" borderId="25" xfId="0" applyFont="1" applyFill="1" applyBorder="1" applyAlignment="1">
      <alignment horizontal="center" vertical="center"/>
    </xf>
    <xf numFmtId="0" fontId="16" fillId="24" borderId="12" xfId="0" applyFont="1" applyFill="1" applyBorder="1" applyAlignment="1">
      <alignment horizontal="center" vertical="center"/>
    </xf>
    <xf numFmtId="0" fontId="16" fillId="24" borderId="14" xfId="0" applyFont="1" applyFill="1" applyBorder="1" applyAlignment="1">
      <alignment horizontal="center" vertical="center"/>
    </xf>
    <xf numFmtId="0" fontId="16" fillId="24" borderId="16" xfId="0" applyFont="1" applyFill="1" applyBorder="1" applyAlignment="1">
      <alignment horizontal="center" vertical="center"/>
    </xf>
    <xf numFmtId="0" fontId="16" fillId="0" borderId="13" xfId="0" applyFont="1" applyBorder="1" applyAlignment="1">
      <alignment vertical="top" wrapText="1"/>
    </xf>
    <xf numFmtId="0" fontId="16" fillId="0" borderId="15" xfId="0" applyFont="1" applyBorder="1" applyAlignment="1">
      <alignment vertical="top" wrapText="1"/>
    </xf>
    <xf numFmtId="0" fontId="40" fillId="0" borderId="13" xfId="0" applyFont="1" applyBorder="1" applyAlignment="1">
      <alignment horizontal="center"/>
    </xf>
    <xf numFmtId="0" fontId="40" fillId="0" borderId="0" xfId="0" applyFont="1" applyBorder="1" applyAlignment="1">
      <alignment horizontal="center"/>
    </xf>
    <xf numFmtId="0" fontId="40" fillId="0" borderId="15" xfId="0" applyFont="1" applyBorder="1" applyAlignment="1">
      <alignment horizontal="center"/>
    </xf>
    <xf numFmtId="0" fontId="16" fillId="0" borderId="0" xfId="0" applyFont="1" applyBorder="1" applyAlignment="1">
      <alignment horizontal="center"/>
    </xf>
    <xf numFmtId="0" fontId="16" fillId="0" borderId="13" xfId="0" applyFont="1" applyBorder="1" applyAlignment="1">
      <alignment horizontal="left" vertical="top" wrapText="1"/>
    </xf>
    <xf numFmtId="0" fontId="16" fillId="0" borderId="15" xfId="0" applyFont="1" applyBorder="1" applyAlignment="1">
      <alignment horizontal="left" vertical="top" wrapText="1"/>
    </xf>
    <xf numFmtId="0" fontId="7" fillId="0" borderId="13" xfId="0" applyFont="1" applyBorder="1" applyAlignment="1">
      <alignment horizontal="center"/>
    </xf>
    <xf numFmtId="0" fontId="7" fillId="0" borderId="0" xfId="0" applyFont="1" applyBorder="1" applyAlignment="1">
      <alignment horizontal="center"/>
    </xf>
    <xf numFmtId="0" fontId="7" fillId="0" borderId="15" xfId="0" applyFont="1" applyBorder="1" applyAlignment="1">
      <alignment horizontal="center"/>
    </xf>
    <xf numFmtId="1" fontId="15" fillId="0" borderId="13" xfId="0" applyNumberFormat="1" applyFont="1" applyBorder="1" applyAlignment="1" applyProtection="1">
      <alignment horizontal="center"/>
    </xf>
    <xf numFmtId="1" fontId="15" fillId="0" borderId="58" xfId="0" applyNumberFormat="1" applyFont="1" applyBorder="1" applyAlignment="1" applyProtection="1">
      <alignment horizontal="center"/>
    </xf>
    <xf numFmtId="0" fontId="14" fillId="0" borderId="12" xfId="0" applyFont="1" applyBorder="1" applyAlignment="1">
      <alignment horizontal="center"/>
    </xf>
    <xf numFmtId="0" fontId="14" fillId="0" borderId="16" xfId="0" applyFont="1" applyBorder="1" applyAlignment="1">
      <alignment horizontal="center"/>
    </xf>
    <xf numFmtId="0" fontId="14" fillId="0" borderId="59" xfId="0" applyFont="1" applyBorder="1" applyAlignment="1">
      <alignment horizontal="center"/>
    </xf>
    <xf numFmtId="0" fontId="7" fillId="0" borderId="55" xfId="0" applyFont="1" applyBorder="1" applyAlignment="1" applyProtection="1">
      <alignment horizontal="center"/>
    </xf>
    <xf numFmtId="0" fontId="7" fillId="0" borderId="0" xfId="0" applyFont="1" applyBorder="1" applyAlignment="1" applyProtection="1">
      <alignment horizontal="center"/>
    </xf>
    <xf numFmtId="0" fontId="7" fillId="0" borderId="15" xfId="0" applyFont="1" applyBorder="1" applyAlignment="1" applyProtection="1">
      <alignment horizontal="center"/>
    </xf>
    <xf numFmtId="0" fontId="7" fillId="0" borderId="13" xfId="0" applyFont="1" applyBorder="1" applyAlignment="1" applyProtection="1">
      <alignment horizontal="center"/>
    </xf>
    <xf numFmtId="1" fontId="7" fillId="0" borderId="60" xfId="0" applyNumberFormat="1" applyFont="1" applyBorder="1" applyAlignment="1" applyProtection="1">
      <alignment horizontal="center"/>
    </xf>
    <xf numFmtId="1" fontId="7" fillId="0" borderId="14" xfId="0" applyNumberFormat="1" applyFont="1" applyBorder="1" applyAlignment="1" applyProtection="1">
      <alignment horizontal="center"/>
    </xf>
    <xf numFmtId="0" fontId="7" fillId="0" borderId="52" xfId="0" applyFont="1" applyBorder="1" applyAlignment="1" applyProtection="1">
      <alignment horizontal="center"/>
    </xf>
    <xf numFmtId="0" fontId="7" fillId="0" borderId="25" xfId="0" applyFont="1" applyBorder="1" applyAlignment="1" applyProtection="1">
      <alignment horizontal="center"/>
    </xf>
    <xf numFmtId="0" fontId="7" fillId="0" borderId="53" xfId="0" applyFont="1" applyBorder="1" applyAlignment="1" applyProtection="1">
      <alignment horizontal="center"/>
    </xf>
    <xf numFmtId="0" fontId="7" fillId="0" borderId="54" xfId="0" applyFont="1" applyBorder="1" applyAlignment="1" applyProtection="1">
      <alignment horizontal="center"/>
    </xf>
    <xf numFmtId="0" fontId="7" fillId="0" borderId="56" xfId="0" applyFont="1" applyBorder="1" applyAlignment="1" applyProtection="1">
      <alignment horizontal="center"/>
    </xf>
    <xf numFmtId="0" fontId="7" fillId="0" borderId="57" xfId="0" applyFont="1" applyBorder="1" applyAlignment="1" applyProtection="1">
      <alignment horizontal="center"/>
    </xf>
    <xf numFmtId="0" fontId="7" fillId="0" borderId="24" xfId="0" applyFont="1" applyBorder="1" applyAlignment="1" applyProtection="1">
      <alignment horizontal="center"/>
    </xf>
    <xf numFmtId="0" fontId="16" fillId="0" borderId="13" xfId="0" applyFont="1" applyBorder="1" applyAlignment="1">
      <alignment horizontal="center" wrapText="1"/>
    </xf>
    <xf numFmtId="0" fontId="16" fillId="0" borderId="0" xfId="0" applyFont="1" applyBorder="1" applyAlignment="1">
      <alignment horizontal="center" wrapText="1"/>
    </xf>
    <xf numFmtId="0" fontId="16" fillId="0" borderId="15" xfId="0" applyFont="1" applyBorder="1" applyAlignment="1">
      <alignment horizontal="center" wrapText="1"/>
    </xf>
    <xf numFmtId="0" fontId="16" fillId="0" borderId="0" xfId="0" applyFont="1" applyBorder="1" applyAlignment="1">
      <alignment horizontal="left" vertical="top"/>
    </xf>
    <xf numFmtId="0" fontId="17" fillId="0" borderId="0" xfId="0" applyFont="1" applyBorder="1" applyAlignment="1">
      <alignment horizontal="left" vertical="top" wrapText="1"/>
    </xf>
    <xf numFmtId="0" fontId="17" fillId="0" borderId="15" xfId="0" applyFont="1" applyBorder="1" applyAlignment="1">
      <alignment horizontal="left" vertical="top" wrapText="1"/>
    </xf>
    <xf numFmtId="0" fontId="6" fillId="0" borderId="0" xfId="37" applyFont="1" applyBorder="1" applyAlignment="1" applyProtection="1">
      <alignment horizontal="left"/>
    </xf>
    <xf numFmtId="0" fontId="6" fillId="0" borderId="0" xfId="37" applyBorder="1" applyAlignment="1" applyProtection="1">
      <alignment horizontal="left"/>
    </xf>
    <xf numFmtId="0" fontId="41" fillId="0" borderId="0" xfId="0" applyFont="1" applyAlignment="1">
      <alignment horizontal="center"/>
    </xf>
    <xf numFmtId="0" fontId="37" fillId="0" borderId="32" xfId="0" applyFont="1" applyBorder="1" applyAlignment="1">
      <alignment horizontal="right"/>
    </xf>
    <xf numFmtId="0" fontId="37" fillId="0" borderId="34" xfId="0" applyFont="1" applyBorder="1" applyAlignment="1">
      <alignment horizontal="right"/>
    </xf>
    <xf numFmtId="2" fontId="37" fillId="0" borderId="32" xfId="0" applyNumberFormat="1" applyFont="1" applyBorder="1" applyAlignment="1">
      <alignment horizontal="right"/>
    </xf>
    <xf numFmtId="2" fontId="37" fillId="0" borderId="34" xfId="0" applyNumberFormat="1" applyFont="1" applyBorder="1" applyAlignment="1">
      <alignment horizontal="right"/>
    </xf>
    <xf numFmtId="0" fontId="19" fillId="0" borderId="32" xfId="0" applyFont="1" applyBorder="1" applyAlignment="1">
      <alignment horizontal="right"/>
    </xf>
    <xf numFmtId="0" fontId="19" fillId="0" borderId="34" xfId="0" applyFont="1" applyBorder="1" applyAlignment="1">
      <alignment horizontal="right"/>
    </xf>
    <xf numFmtId="2" fontId="37" fillId="0" borderId="39" xfId="0" applyNumberFormat="1" applyFont="1" applyBorder="1" applyAlignment="1">
      <alignment horizontal="right"/>
    </xf>
    <xf numFmtId="2" fontId="37" fillId="0" borderId="17" xfId="0" applyNumberFormat="1" applyFont="1" applyBorder="1" applyAlignment="1">
      <alignment horizontal="right"/>
    </xf>
    <xf numFmtId="0" fontId="37" fillId="0" borderId="39" xfId="0" applyFont="1" applyBorder="1" applyAlignment="1">
      <alignment horizontal="right"/>
    </xf>
    <xf numFmtId="0" fontId="37" fillId="0" borderId="17" xfId="0" applyFont="1" applyBorder="1" applyAlignment="1">
      <alignment horizontal="right"/>
    </xf>
    <xf numFmtId="0" fontId="37" fillId="0" borderId="39" xfId="0" applyFont="1" applyBorder="1" applyAlignment="1"/>
    <xf numFmtId="0" fontId="37" fillId="0" borderId="17" xfId="0" applyFont="1" applyBorder="1" applyAlignment="1"/>
    <xf numFmtId="0" fontId="37" fillId="0" borderId="40" xfId="0" applyFont="1" applyBorder="1" applyAlignment="1">
      <alignment horizontal="right"/>
    </xf>
    <xf numFmtId="0" fontId="37" fillId="0" borderId="31" xfId="0" applyFont="1" applyBorder="1" applyAlignment="1">
      <alignment horizontal="right"/>
    </xf>
    <xf numFmtId="0" fontId="37" fillId="0" borderId="39" xfId="0" applyFont="1" applyBorder="1" applyAlignment="1">
      <alignment horizontal="left"/>
    </xf>
    <xf numFmtId="0" fontId="37" fillId="0" borderId="17" xfId="0" applyFont="1" applyBorder="1" applyAlignment="1">
      <alignment horizontal="left"/>
    </xf>
    <xf numFmtId="0" fontId="22" fillId="0" borderId="11" xfId="0" applyFont="1" applyBorder="1" applyAlignment="1" applyProtection="1">
      <alignment horizontal="center" vertical="center" wrapText="1"/>
      <protection locked="0"/>
    </xf>
    <xf numFmtId="0" fontId="22" fillId="0" borderId="27" xfId="0" applyFont="1" applyBorder="1" applyAlignment="1" applyProtection="1">
      <alignment horizontal="center" vertical="center" wrapText="1"/>
      <protection locked="0"/>
    </xf>
    <xf numFmtId="0" fontId="37" fillId="0" borderId="63" xfId="0" applyFont="1" applyBorder="1" applyAlignment="1">
      <alignment horizontal="left"/>
    </xf>
    <xf numFmtId="0" fontId="37" fillId="0" borderId="64" xfId="0" applyFont="1" applyBorder="1" applyAlignment="1">
      <alignment horizontal="left"/>
    </xf>
    <xf numFmtId="0" fontId="37" fillId="0" borderId="32" xfId="0" applyFont="1" applyBorder="1" applyAlignment="1">
      <alignment horizontal="left" vertical="top" wrapText="1"/>
    </xf>
    <xf numFmtId="0" fontId="37" fillId="0" borderId="34" xfId="0" applyFont="1" applyBorder="1" applyAlignment="1">
      <alignment horizontal="left" vertical="top" wrapText="1"/>
    </xf>
    <xf numFmtId="0" fontId="5" fillId="0" borderId="52" xfId="0" applyFont="1" applyBorder="1" applyAlignment="1">
      <alignment horizontal="center"/>
    </xf>
    <xf numFmtId="0" fontId="5" fillId="0" borderId="24" xfId="0" applyFont="1" applyBorder="1" applyAlignment="1">
      <alignment horizontal="center"/>
    </xf>
    <xf numFmtId="49" fontId="5" fillId="0" borderId="13" xfId="0" applyNumberFormat="1" applyFont="1" applyBorder="1" applyAlignment="1">
      <alignment horizontal="center" vertical="center"/>
    </xf>
    <xf numFmtId="49" fontId="5" fillId="0" borderId="0" xfId="0" applyNumberFormat="1" applyFont="1" applyBorder="1" applyAlignment="1">
      <alignment horizontal="center" vertical="center"/>
    </xf>
    <xf numFmtId="0" fontId="5" fillId="0" borderId="13" xfId="0" applyFont="1" applyBorder="1" applyAlignment="1">
      <alignment horizontal="center" vertical="top" wrapText="1"/>
    </xf>
    <xf numFmtId="0" fontId="5" fillId="0" borderId="0" xfId="0" applyFont="1" applyBorder="1" applyAlignment="1">
      <alignment horizontal="center" vertical="top" wrapText="1"/>
    </xf>
    <xf numFmtId="0" fontId="5" fillId="22" borderId="0" xfId="0" applyFont="1" applyFill="1" applyBorder="1" applyAlignment="1" applyProtection="1">
      <alignment horizontal="center" vertical="center"/>
      <protection locked="0"/>
    </xf>
    <xf numFmtId="0" fontId="3" fillId="0" borderId="61" xfId="0" applyFont="1" applyBorder="1" applyAlignment="1">
      <alignment horizontal="center"/>
    </xf>
    <xf numFmtId="0" fontId="3" fillId="0" borderId="62" xfId="0" applyFont="1" applyBorder="1" applyAlignment="1">
      <alignment horizontal="center"/>
    </xf>
    <xf numFmtId="0" fontId="2" fillId="0" borderId="32" xfId="0" applyFont="1" applyBorder="1" applyAlignment="1">
      <alignment horizontal="center"/>
    </xf>
    <xf numFmtId="0" fontId="2" fillId="0" borderId="34" xfId="0" applyFont="1" applyBorder="1" applyAlignment="1">
      <alignment horizontal="center"/>
    </xf>
    <xf numFmtId="166" fontId="37" fillId="0" borderId="39" xfId="0" applyNumberFormat="1" applyFont="1" applyBorder="1" applyAlignment="1">
      <alignment horizontal="right"/>
    </xf>
    <xf numFmtId="166" fontId="37" fillId="0" borderId="17" xfId="0" applyNumberFormat="1" applyFont="1" applyBorder="1" applyAlignment="1">
      <alignment horizontal="right"/>
    </xf>
    <xf numFmtId="0" fontId="37" fillId="0" borderId="42" xfId="0" applyFont="1" applyBorder="1" applyAlignment="1">
      <alignment horizontal="right"/>
    </xf>
    <xf numFmtId="2" fontId="37" fillId="26" borderId="39" xfId="0" applyNumberFormat="1" applyFont="1" applyFill="1" applyBorder="1" applyAlignment="1">
      <alignment horizontal="right"/>
    </xf>
    <xf numFmtId="2" fontId="37" fillId="26" borderId="17" xfId="0" applyNumberFormat="1" applyFont="1" applyFill="1" applyBorder="1" applyAlignment="1">
      <alignment horizontal="right"/>
    </xf>
    <xf numFmtId="0" fontId="2" fillId="0" borderId="61" xfId="0" applyFont="1" applyBorder="1" applyAlignment="1">
      <alignment horizontal="center"/>
    </xf>
    <xf numFmtId="0" fontId="2" fillId="0" borderId="62" xfId="0" applyFont="1" applyBorder="1" applyAlignment="1">
      <alignment horizontal="center"/>
    </xf>
    <xf numFmtId="166" fontId="37" fillId="26" borderId="32" xfId="0" applyNumberFormat="1" applyFont="1" applyFill="1" applyBorder="1" applyAlignment="1">
      <alignment horizontal="right"/>
    </xf>
    <xf numFmtId="166" fontId="37" fillId="26" borderId="34" xfId="0" applyNumberFormat="1" applyFont="1" applyFill="1" applyBorder="1" applyAlignment="1">
      <alignment horizontal="right"/>
    </xf>
    <xf numFmtId="166" fontId="37" fillId="0" borderId="32" xfId="0" applyNumberFormat="1" applyFont="1" applyBorder="1" applyAlignment="1">
      <alignment horizontal="right"/>
    </xf>
    <xf numFmtId="166" fontId="37" fillId="0" borderId="34" xfId="0" applyNumberFormat="1" applyFont="1" applyBorder="1" applyAlignment="1">
      <alignment horizontal="right"/>
    </xf>
    <xf numFmtId="166" fontId="37" fillId="26" borderId="39" xfId="0" applyNumberFormat="1" applyFont="1" applyFill="1" applyBorder="1" applyAlignment="1">
      <alignment horizontal="right"/>
    </xf>
    <xf numFmtId="166" fontId="37" fillId="26" borderId="17" xfId="0" applyNumberFormat="1" applyFont="1" applyFill="1" applyBorder="1" applyAlignment="1">
      <alignment horizontal="right"/>
    </xf>
    <xf numFmtId="2" fontId="37" fillId="0" borderId="32" xfId="0" applyNumberFormat="1" applyFont="1" applyBorder="1" applyAlignment="1">
      <alignment horizontal="center"/>
    </xf>
    <xf numFmtId="2" fontId="37" fillId="0" borderId="34" xfId="0" applyNumberFormat="1" applyFont="1" applyBorder="1" applyAlignment="1">
      <alignment horizontal="center"/>
    </xf>
    <xf numFmtId="166" fontId="37" fillId="0" borderId="32" xfId="0" applyNumberFormat="1" applyFont="1" applyBorder="1" applyAlignment="1">
      <alignment horizontal="center"/>
    </xf>
    <xf numFmtId="166" fontId="37" fillId="0" borderId="34" xfId="0" applyNumberFormat="1" applyFont="1" applyBorder="1" applyAlignment="1">
      <alignment horizontal="center"/>
    </xf>
    <xf numFmtId="0" fontId="3" fillId="0" borderId="0" xfId="0" applyFont="1" applyBorder="1" applyAlignment="1">
      <alignment horizontal="left" vertical="center"/>
    </xf>
    <xf numFmtId="0" fontId="10" fillId="0" borderId="0" xfId="0" applyFont="1" applyAlignment="1">
      <alignment horizontal="center"/>
    </xf>
    <xf numFmtId="0" fontId="0" fillId="0" borderId="41" xfId="0" applyBorder="1" applyAlignment="1">
      <alignment horizontal="center"/>
    </xf>
    <xf numFmtId="0" fontId="0" fillId="0" borderId="65" xfId="0" applyBorder="1" applyAlignment="1">
      <alignment horizontal="center"/>
    </xf>
    <xf numFmtId="0" fontId="5" fillId="0" borderId="0" xfId="0" applyFont="1" applyAlignment="1">
      <alignment horizontal="left"/>
    </xf>
    <xf numFmtId="0" fontId="0" fillId="0" borderId="0" xfId="0" applyBorder="1" applyAlignment="1">
      <alignment horizontal="center"/>
    </xf>
    <xf numFmtId="166" fontId="0" fillId="0" borderId="18" xfId="0" applyNumberFormat="1" applyBorder="1" applyAlignment="1">
      <alignment horizontal="center"/>
    </xf>
    <xf numFmtId="166" fontId="0" fillId="0" borderId="0" xfId="0" applyNumberFormat="1" applyBorder="1" applyAlignment="1">
      <alignment horizontal="center"/>
    </xf>
    <xf numFmtId="165" fontId="0" fillId="0" borderId="18" xfId="0" applyNumberFormat="1" applyBorder="1" applyAlignment="1">
      <alignment horizontal="center"/>
    </xf>
    <xf numFmtId="165" fontId="0" fillId="0" borderId="0" xfId="0" applyNumberFormat="1" applyBorder="1" applyAlignment="1">
      <alignment horizontal="center"/>
    </xf>
    <xf numFmtId="0" fontId="0" fillId="0" borderId="42" xfId="0" applyBorder="1" applyAlignment="1">
      <alignment horizontal="center"/>
    </xf>
    <xf numFmtId="0" fontId="0" fillId="0" borderId="73" xfId="0" applyBorder="1" applyAlignment="1">
      <alignment horizontal="center"/>
    </xf>
    <xf numFmtId="0" fontId="0" fillId="0" borderId="34" xfId="0" applyBorder="1" applyAlignment="1">
      <alignment horizontal="center"/>
    </xf>
    <xf numFmtId="0" fontId="0" fillId="0" borderId="74" xfId="0" applyBorder="1" applyAlignment="1">
      <alignment horizontal="right"/>
    </xf>
    <xf numFmtId="0" fontId="0" fillId="0" borderId="75" xfId="0" applyBorder="1" applyAlignment="1">
      <alignment horizontal="right"/>
    </xf>
    <xf numFmtId="0" fontId="0" fillId="0" borderId="73" xfId="0" applyBorder="1" applyAlignment="1">
      <alignment horizontal="right"/>
    </xf>
    <xf numFmtId="0" fontId="0" fillId="0" borderId="34" xfId="0" applyBorder="1" applyAlignment="1">
      <alignment horizontal="right"/>
    </xf>
    <xf numFmtId="0" fontId="0" fillId="0" borderId="45" xfId="0" applyBorder="1" applyAlignment="1">
      <alignment horizontal="center"/>
    </xf>
    <xf numFmtId="0" fontId="0" fillId="0" borderId="76" xfId="0" applyBorder="1" applyAlignment="1">
      <alignment horizontal="center"/>
    </xf>
    <xf numFmtId="0" fontId="0" fillId="0" borderId="72" xfId="0" applyBorder="1" applyAlignment="1">
      <alignment horizontal="center" vertical="top" wrapText="1"/>
    </xf>
    <xf numFmtId="0" fontId="0" fillId="0" borderId="77" xfId="0" applyBorder="1" applyAlignment="1">
      <alignment horizontal="center" vertical="top" wrapText="1"/>
    </xf>
    <xf numFmtId="0" fontId="0" fillId="0" borderId="78" xfId="0" applyBorder="1" applyAlignment="1">
      <alignment horizontal="center"/>
    </xf>
    <xf numFmtId="0" fontId="0" fillId="0" borderId="43" xfId="0" applyBorder="1" applyAlignment="1">
      <alignment horizontal="center" vertical="top" wrapText="1"/>
    </xf>
    <xf numFmtId="0" fontId="0" fillId="0" borderId="79" xfId="0" applyBorder="1" applyAlignment="1">
      <alignment horizontal="center" vertical="top" wrapText="1"/>
    </xf>
    <xf numFmtId="0" fontId="0" fillId="0" borderId="64" xfId="0" applyBorder="1" applyAlignment="1">
      <alignment horizontal="center" vertical="top" wrapText="1"/>
    </xf>
    <xf numFmtId="0" fontId="0" fillId="0" borderId="80" xfId="0" applyBorder="1" applyAlignment="1">
      <alignment horizontal="center" vertical="top" wrapText="1"/>
    </xf>
    <xf numFmtId="0" fontId="0" fillId="0" borderId="62" xfId="0" applyBorder="1" applyAlignment="1">
      <alignment horizontal="center" vertical="top" wrapText="1"/>
    </xf>
    <xf numFmtId="0" fontId="0" fillId="0" borderId="28" xfId="0" applyBorder="1" applyAlignment="1">
      <alignment horizontal="center" vertical="top" wrapText="1"/>
    </xf>
    <xf numFmtId="0" fontId="0" fillId="0" borderId="66" xfId="0" applyBorder="1" applyAlignment="1">
      <alignment horizontal="center" vertical="top"/>
    </xf>
    <xf numFmtId="0" fontId="0" fillId="0" borderId="39" xfId="0" applyBorder="1" applyAlignment="1">
      <alignment horizontal="center" vertical="top"/>
    </xf>
    <xf numFmtId="43" fontId="0" fillId="0" borderId="67" xfId="28" applyFont="1" applyBorder="1" applyAlignment="1">
      <alignment horizontal="center"/>
    </xf>
    <xf numFmtId="43" fontId="0" fillId="0" borderId="68" xfId="28" applyFont="1" applyBorder="1" applyAlignment="1">
      <alignment horizontal="center"/>
    </xf>
    <xf numFmtId="0" fontId="11" fillId="0" borderId="69" xfId="0" applyFont="1" applyBorder="1" applyAlignment="1">
      <alignment horizontal="center"/>
    </xf>
    <xf numFmtId="0" fontId="11" fillId="0" borderId="70" xfId="0" applyFont="1" applyBorder="1" applyAlignment="1">
      <alignment horizontal="center"/>
    </xf>
    <xf numFmtId="0" fontId="11" fillId="0" borderId="71" xfId="0" applyFont="1" applyBorder="1" applyAlignment="1">
      <alignment horizontal="center"/>
    </xf>
    <xf numFmtId="166" fontId="0" fillId="0" borderId="44" xfId="0" applyNumberFormat="1" applyBorder="1" applyAlignment="1">
      <alignment horizontal="center"/>
    </xf>
    <xf numFmtId="166" fontId="0" fillId="0" borderId="81" xfId="0" applyNumberFormat="1" applyBorder="1" applyAlignment="1">
      <alignment horizontal="center"/>
    </xf>
    <xf numFmtId="0" fontId="0" fillId="0" borderId="44" xfId="0" applyBorder="1" applyAlignment="1">
      <alignment horizontal="center" vertical="top"/>
    </xf>
    <xf numFmtId="0" fontId="0" fillId="0" borderId="81" xfId="0" applyBorder="1" applyAlignment="1">
      <alignment horizontal="center" vertical="top"/>
    </xf>
    <xf numFmtId="0" fontId="0" fillId="0" borderId="26" xfId="0" applyBorder="1" applyAlignment="1">
      <alignment horizontal="center" vertical="top"/>
    </xf>
    <xf numFmtId="0" fontId="0" fillId="0" borderId="50" xfId="0" applyBorder="1" applyAlignment="1">
      <alignment horizontal="center" vertical="top"/>
    </xf>
    <xf numFmtId="166" fontId="0" fillId="0" borderId="51" xfId="0" applyNumberFormat="1" applyBorder="1" applyAlignment="1">
      <alignment horizontal="center"/>
    </xf>
    <xf numFmtId="166" fontId="0" fillId="0" borderId="62" xfId="0" applyNumberFormat="1" applyBorder="1" applyAlignment="1">
      <alignment horizontal="center"/>
    </xf>
    <xf numFmtId="0" fontId="0" fillId="0" borderId="51" xfId="0" applyBorder="1" applyAlignment="1">
      <alignment horizontal="center"/>
    </xf>
    <xf numFmtId="0" fontId="0" fillId="0" borderId="62" xfId="0" applyBorder="1" applyAlignment="1">
      <alignment horizontal="center"/>
    </xf>
    <xf numFmtId="0" fontId="3" fillId="0" borderId="51" xfId="0" applyFont="1" applyBorder="1" applyAlignment="1">
      <alignment horizontal="center" vertical="center"/>
    </xf>
    <xf numFmtId="0" fontId="3" fillId="0" borderId="62" xfId="0" applyFont="1" applyBorder="1" applyAlignment="1">
      <alignment horizontal="center" vertical="center"/>
    </xf>
    <xf numFmtId="0" fontId="12" fillId="0" borderId="52" xfId="0" applyFont="1" applyBorder="1" applyAlignment="1">
      <alignment horizontal="center"/>
    </xf>
    <xf numFmtId="0" fontId="12" fillId="0" borderId="24" xfId="0" applyFont="1" applyBorder="1" applyAlignment="1">
      <alignment horizontal="center"/>
    </xf>
    <xf numFmtId="0" fontId="12" fillId="0" borderId="25" xfId="0" applyFont="1" applyBorder="1" applyAlignment="1">
      <alignment horizontal="center"/>
    </xf>
    <xf numFmtId="0" fontId="0" fillId="0" borderId="13" xfId="0" applyBorder="1" applyAlignment="1">
      <alignment horizontal="center"/>
    </xf>
    <xf numFmtId="0" fontId="0" fillId="0" borderId="0" xfId="0" applyBorder="1"/>
    <xf numFmtId="0" fontId="43" fillId="0" borderId="0" xfId="0" applyFont="1"/>
  </cellXfs>
  <cellStyles count="46">
    <cellStyle name="Accent1" xfId="1" builtinId="29" customBuiltin="1"/>
    <cellStyle name="Accent1 - 20%" xfId="2"/>
    <cellStyle name="Accent1 - 40%" xfId="3"/>
    <cellStyle name="Accent1 - 60%" xfId="4"/>
    <cellStyle name="Accent2" xfId="5" builtinId="33" customBuiltin="1"/>
    <cellStyle name="Accent2 - 20%" xfId="6"/>
    <cellStyle name="Accent2 - 40%" xfId="7"/>
    <cellStyle name="Accent2 - 60%" xfId="8"/>
    <cellStyle name="Accent3" xfId="9" builtinId="37" customBuiltin="1"/>
    <cellStyle name="Accent3 - 20%" xfId="10"/>
    <cellStyle name="Accent3 - 40%" xfId="11"/>
    <cellStyle name="Accent3 - 60%" xfId="12"/>
    <cellStyle name="Accent4" xfId="13" builtinId="41" customBuiltin="1"/>
    <cellStyle name="Accent4 - 20%" xfId="14"/>
    <cellStyle name="Accent4 - 40%" xfId="15"/>
    <cellStyle name="Accent4 - 60%" xfId="16"/>
    <cellStyle name="Accent5" xfId="17" builtinId="45" customBuiltin="1"/>
    <cellStyle name="Accent5 - 20%" xfId="18"/>
    <cellStyle name="Accent5 - 40%" xfId="19"/>
    <cellStyle name="Accent5 - 60%" xfId="20"/>
    <cellStyle name="Accent6" xfId="21" builtinId="49" customBuiltin="1"/>
    <cellStyle name="Accent6 - 20%" xfId="22"/>
    <cellStyle name="Accent6 - 40%" xfId="23"/>
    <cellStyle name="Accent6 - 60%" xfId="24"/>
    <cellStyle name="Bad" xfId="25" builtinId="27" customBuiltin="1"/>
    <cellStyle name="Calculation" xfId="26" builtinId="22" customBuiltin="1"/>
    <cellStyle name="Check Cell" xfId="27" builtinId="23" customBuiltin="1"/>
    <cellStyle name="Comma" xfId="28" builtinId="3"/>
    <cellStyle name="Emphasis 1" xfId="29"/>
    <cellStyle name="Emphasis 2" xfId="30"/>
    <cellStyle name="Emphasis 3" xfId="3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ellStyle name="Input" xfId="38" builtinId="20" customBuiltin="1"/>
    <cellStyle name="Linked Cell" xfId="39" builtinId="24" customBuiltin="1"/>
    <cellStyle name="Neutral" xfId="40" builtinId="28" customBuiltin="1"/>
    <cellStyle name="Normal" xfId="0" builtinId="0"/>
    <cellStyle name="Note" xfId="41" builtinId="10" customBuiltin="1"/>
    <cellStyle name="Output" xfId="42" builtinId="21" customBuiltin="1"/>
    <cellStyle name="Sheet Title" xfId="43"/>
    <cellStyle name="Total" xfId="44" builtinId="25" customBuiltin="1"/>
    <cellStyle name="Warning Text" xfId="4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100000" t="100000" r="100000" b="10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25400" tIns="0" rIns="2540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25400" tIns="0" rIns="2540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daqmd@ca.gov" TargetMode="External"/><Relationship Id="rId1" Type="http://schemas.openxmlformats.org/officeDocument/2006/relationships/hyperlink" Target="http://www.mdaqmd.ca.gov/everyone/inventoryguidelinestoc.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00"/>
  <sheetViews>
    <sheetView topLeftCell="A85" workbookViewId="0">
      <selection activeCell="M104" sqref="M104"/>
    </sheetView>
  </sheetViews>
  <sheetFormatPr defaultRowHeight="12.75" x14ac:dyDescent="0.2"/>
  <cols>
    <col min="1" max="12" width="9.28515625" style="69" customWidth="1"/>
    <col min="13" max="16384" width="9.140625" style="69"/>
  </cols>
  <sheetData>
    <row r="1" spans="1:12" ht="20.25" x14ac:dyDescent="0.3">
      <c r="A1" s="326" t="s">
        <v>27</v>
      </c>
      <c r="B1" s="330"/>
      <c r="C1" s="331" t="s">
        <v>169</v>
      </c>
      <c r="D1" s="332"/>
      <c r="E1" s="332"/>
      <c r="F1" s="332"/>
      <c r="G1" s="332"/>
      <c r="H1" s="332"/>
      <c r="I1" s="332"/>
      <c r="J1" s="332"/>
      <c r="K1" s="326"/>
      <c r="L1" s="327"/>
    </row>
    <row r="2" spans="1:12" ht="20.25" x14ac:dyDescent="0.3">
      <c r="A2" s="328" t="s">
        <v>28</v>
      </c>
      <c r="B2" s="329"/>
      <c r="C2" s="320" t="s">
        <v>113</v>
      </c>
      <c r="D2" s="321"/>
      <c r="E2" s="321"/>
      <c r="F2" s="321"/>
      <c r="G2" s="321"/>
      <c r="H2" s="321"/>
      <c r="I2" s="321"/>
      <c r="J2" s="321"/>
      <c r="K2" s="323" t="s">
        <v>114</v>
      </c>
      <c r="L2" s="322"/>
    </row>
    <row r="3" spans="1:12" ht="20.25" x14ac:dyDescent="0.3">
      <c r="A3" s="315" t="s">
        <v>447</v>
      </c>
      <c r="B3" s="316"/>
      <c r="C3" s="320" t="s">
        <v>115</v>
      </c>
      <c r="D3" s="321"/>
      <c r="E3" s="321"/>
      <c r="F3" s="321"/>
      <c r="G3" s="321"/>
      <c r="H3" s="321"/>
      <c r="I3" s="321"/>
      <c r="J3" s="322"/>
      <c r="K3" s="323" t="s">
        <v>160</v>
      </c>
      <c r="L3" s="322"/>
    </row>
    <row r="4" spans="1:12" ht="21" thickBot="1" x14ac:dyDescent="0.35">
      <c r="A4" s="317"/>
      <c r="B4" s="319"/>
      <c r="C4" s="324" t="s">
        <v>116</v>
      </c>
      <c r="D4" s="325"/>
      <c r="E4" s="325"/>
      <c r="F4" s="325"/>
      <c r="G4" s="325"/>
      <c r="H4" s="325"/>
      <c r="I4" s="325"/>
      <c r="J4" s="325"/>
      <c r="K4" s="317"/>
      <c r="L4" s="318"/>
    </row>
    <row r="5" spans="1:12" ht="15.75" customHeight="1" x14ac:dyDescent="0.2">
      <c r="A5" s="292" t="s">
        <v>117</v>
      </c>
      <c r="B5" s="293"/>
      <c r="C5" s="293"/>
      <c r="D5" s="293"/>
      <c r="E5" s="293"/>
      <c r="F5" s="294"/>
      <c r="G5" s="298" t="s">
        <v>118</v>
      </c>
      <c r="H5" s="299"/>
      <c r="I5" s="299"/>
      <c r="J5" s="299"/>
      <c r="K5" s="299"/>
      <c r="L5" s="300"/>
    </row>
    <row r="6" spans="1:12" ht="17.25" customHeight="1" thickBot="1" x14ac:dyDescent="0.25">
      <c r="A6" s="295"/>
      <c r="B6" s="296"/>
      <c r="C6" s="296"/>
      <c r="D6" s="296"/>
      <c r="E6" s="296"/>
      <c r="F6" s="297"/>
      <c r="G6" s="301"/>
      <c r="H6" s="302"/>
      <c r="I6" s="302"/>
      <c r="J6" s="302"/>
      <c r="K6" s="302"/>
      <c r="L6" s="303"/>
    </row>
    <row r="7" spans="1:12" ht="15.75" x14ac:dyDescent="0.25">
      <c r="A7" s="72"/>
      <c r="B7" s="71"/>
      <c r="C7" s="71"/>
      <c r="D7" s="71"/>
      <c r="E7" s="71"/>
      <c r="F7" s="71"/>
      <c r="G7" s="71"/>
      <c r="H7" s="71"/>
      <c r="I7" s="71"/>
      <c r="J7" s="71"/>
      <c r="K7" s="71"/>
      <c r="L7" s="74"/>
    </row>
    <row r="8" spans="1:12" ht="20.25" x14ac:dyDescent="0.3">
      <c r="A8" s="312" t="s">
        <v>186</v>
      </c>
      <c r="B8" s="313"/>
      <c r="C8" s="313"/>
      <c r="D8" s="313"/>
      <c r="E8" s="313"/>
      <c r="F8" s="313"/>
      <c r="G8" s="313"/>
      <c r="H8" s="313"/>
      <c r="I8" s="313"/>
      <c r="J8" s="313"/>
      <c r="K8" s="313"/>
      <c r="L8" s="314"/>
    </row>
    <row r="9" spans="1:12" ht="15.75" customHeight="1" x14ac:dyDescent="0.25">
      <c r="A9" s="306" t="s">
        <v>291</v>
      </c>
      <c r="B9" s="307"/>
      <c r="C9" s="307"/>
      <c r="D9" s="307"/>
      <c r="E9" s="307"/>
      <c r="F9" s="307"/>
      <c r="G9" s="307"/>
      <c r="H9" s="307"/>
      <c r="I9" s="307"/>
      <c r="J9" s="307"/>
      <c r="K9" s="307"/>
      <c r="L9" s="308"/>
    </row>
    <row r="10" spans="1:12" ht="89.1" customHeight="1" x14ac:dyDescent="0.2">
      <c r="A10" s="304" t="s">
        <v>377</v>
      </c>
      <c r="B10" s="278"/>
      <c r="C10" s="278"/>
      <c r="D10" s="278"/>
      <c r="E10" s="278"/>
      <c r="F10" s="278"/>
      <c r="G10" s="278"/>
      <c r="H10" s="278"/>
      <c r="I10" s="278"/>
      <c r="J10" s="278"/>
      <c r="K10" s="278"/>
      <c r="L10" s="305"/>
    </row>
    <row r="11" spans="1:12" ht="8.1" customHeight="1" x14ac:dyDescent="0.25">
      <c r="A11" s="333"/>
      <c r="B11" s="334"/>
      <c r="C11" s="334"/>
      <c r="D11" s="334"/>
      <c r="E11" s="334"/>
      <c r="F11" s="334"/>
      <c r="G11" s="334"/>
      <c r="H11" s="334"/>
      <c r="I11" s="334"/>
      <c r="J11" s="334"/>
      <c r="K11" s="334"/>
      <c r="L11" s="335"/>
    </row>
    <row r="12" spans="1:12" ht="89.1" customHeight="1" x14ac:dyDescent="0.2">
      <c r="A12" s="310" t="s">
        <v>378</v>
      </c>
      <c r="B12" s="279"/>
      <c r="C12" s="279"/>
      <c r="D12" s="279"/>
      <c r="E12" s="279"/>
      <c r="F12" s="279"/>
      <c r="G12" s="279"/>
      <c r="H12" s="279"/>
      <c r="I12" s="279"/>
      <c r="J12" s="279"/>
      <c r="K12" s="279"/>
      <c r="L12" s="311"/>
    </row>
    <row r="13" spans="1:12" ht="8.1" customHeight="1" x14ac:dyDescent="0.25">
      <c r="A13" s="176"/>
      <c r="B13" s="177"/>
      <c r="C13" s="177"/>
      <c r="D13" s="177"/>
      <c r="E13" s="177"/>
      <c r="F13" s="177"/>
      <c r="G13" s="177"/>
      <c r="H13" s="177"/>
      <c r="I13" s="177"/>
      <c r="J13" s="177"/>
      <c r="K13" s="177"/>
      <c r="L13" s="178"/>
    </row>
    <row r="14" spans="1:12" ht="63" customHeight="1" x14ac:dyDescent="0.2">
      <c r="A14" s="310" t="s">
        <v>379</v>
      </c>
      <c r="B14" s="279"/>
      <c r="C14" s="279"/>
      <c r="D14" s="279"/>
      <c r="E14" s="279"/>
      <c r="F14" s="279"/>
      <c r="G14" s="279"/>
      <c r="H14" s="279"/>
      <c r="I14" s="279"/>
      <c r="J14" s="279"/>
      <c r="K14" s="279"/>
      <c r="L14" s="311"/>
    </row>
    <row r="15" spans="1:12" ht="15.75" customHeight="1" x14ac:dyDescent="0.25">
      <c r="A15" s="169"/>
      <c r="B15" s="170"/>
      <c r="C15" s="170"/>
      <c r="D15" s="170"/>
      <c r="E15" s="170"/>
      <c r="F15" s="170"/>
      <c r="G15" s="170"/>
      <c r="H15" s="170"/>
      <c r="I15" s="170"/>
      <c r="J15" s="170"/>
      <c r="K15" s="170"/>
      <c r="L15" s="171"/>
    </row>
    <row r="16" spans="1:12" ht="40.5" customHeight="1" x14ac:dyDescent="0.2">
      <c r="A16" s="282" t="s">
        <v>432</v>
      </c>
      <c r="B16" s="283"/>
      <c r="C16" s="283"/>
      <c r="D16" s="283"/>
      <c r="E16" s="283"/>
      <c r="F16" s="283"/>
      <c r="G16" s="283"/>
      <c r="H16" s="283"/>
      <c r="I16" s="283"/>
      <c r="J16" s="283"/>
      <c r="K16" s="283"/>
      <c r="L16" s="284"/>
    </row>
    <row r="17" spans="1:12" ht="15.75" x14ac:dyDescent="0.25">
      <c r="A17" s="72"/>
      <c r="B17" s="309" t="s">
        <v>337</v>
      </c>
      <c r="C17" s="309"/>
      <c r="D17" s="309"/>
      <c r="E17" s="309" t="s">
        <v>338</v>
      </c>
      <c r="F17" s="309"/>
      <c r="G17" s="309"/>
      <c r="H17" s="309"/>
      <c r="I17" s="309"/>
      <c r="J17" s="309"/>
      <c r="K17" s="309"/>
      <c r="L17" s="74"/>
    </row>
    <row r="18" spans="1:12" ht="15.75" x14ac:dyDescent="0.25">
      <c r="A18" s="72"/>
      <c r="B18" s="277" t="s">
        <v>161</v>
      </c>
      <c r="C18" s="277"/>
      <c r="D18" s="277"/>
      <c r="E18" s="277" t="s">
        <v>162</v>
      </c>
      <c r="F18" s="277"/>
      <c r="G18" s="277"/>
      <c r="H18" s="277"/>
      <c r="I18" s="277"/>
      <c r="J18" s="277"/>
      <c r="K18" s="277"/>
      <c r="L18" s="74"/>
    </row>
    <row r="19" spans="1:12" ht="15.75" x14ac:dyDescent="0.25">
      <c r="A19" s="72"/>
      <c r="B19" s="281" t="s">
        <v>163</v>
      </c>
      <c r="C19" s="281"/>
      <c r="D19" s="281"/>
      <c r="E19" s="277" t="s">
        <v>193</v>
      </c>
      <c r="F19" s="277"/>
      <c r="G19" s="277"/>
      <c r="H19" s="277"/>
      <c r="I19" s="277"/>
      <c r="J19" s="277"/>
      <c r="K19" s="277"/>
      <c r="L19" s="74"/>
    </row>
    <row r="20" spans="1:12" ht="15.75" x14ac:dyDescent="0.25">
      <c r="A20" s="72"/>
      <c r="B20" s="277" t="s">
        <v>164</v>
      </c>
      <c r="C20" s="277"/>
      <c r="D20" s="277"/>
      <c r="E20" s="71" t="s">
        <v>166</v>
      </c>
      <c r="F20" s="71"/>
      <c r="G20" s="71"/>
      <c r="H20" s="71"/>
      <c r="I20" s="71"/>
      <c r="J20" s="71"/>
      <c r="K20" s="71"/>
      <c r="L20" s="74"/>
    </row>
    <row r="21" spans="1:12" ht="15.75" x14ac:dyDescent="0.25">
      <c r="A21" s="72"/>
      <c r="B21" s="277" t="s">
        <v>289</v>
      </c>
      <c r="C21" s="277"/>
      <c r="D21" s="277"/>
      <c r="E21" s="71" t="s">
        <v>431</v>
      </c>
      <c r="F21" s="71"/>
      <c r="G21" s="71"/>
      <c r="H21" s="71"/>
      <c r="I21" s="71"/>
      <c r="J21" s="71"/>
      <c r="K21" s="71"/>
      <c r="L21" s="74"/>
    </row>
    <row r="22" spans="1:12" ht="31.5" customHeight="1" x14ac:dyDescent="0.25">
      <c r="A22" s="72"/>
      <c r="B22" s="336" t="s">
        <v>433</v>
      </c>
      <c r="C22" s="336"/>
      <c r="D22" s="336"/>
      <c r="E22" s="279" t="s">
        <v>438</v>
      </c>
      <c r="F22" s="279"/>
      <c r="G22" s="279"/>
      <c r="H22" s="279"/>
      <c r="I22" s="279"/>
      <c r="J22" s="279"/>
      <c r="K22" s="279"/>
      <c r="L22" s="74"/>
    </row>
    <row r="23" spans="1:12" ht="15.75" x14ac:dyDescent="0.25">
      <c r="A23" s="72"/>
      <c r="B23" s="281" t="s">
        <v>298</v>
      </c>
      <c r="C23" s="281"/>
      <c r="D23" s="281"/>
      <c r="E23" s="277" t="s">
        <v>167</v>
      </c>
      <c r="F23" s="277"/>
      <c r="G23" s="277"/>
      <c r="H23" s="277"/>
      <c r="I23" s="277"/>
      <c r="J23" s="277"/>
      <c r="K23" s="277"/>
      <c r="L23" s="74"/>
    </row>
    <row r="24" spans="1:12" ht="15.75" x14ac:dyDescent="0.25">
      <c r="A24" s="72"/>
      <c r="B24" s="277" t="s">
        <v>82</v>
      </c>
      <c r="C24" s="277"/>
      <c r="D24" s="277"/>
      <c r="E24" s="281" t="s">
        <v>165</v>
      </c>
      <c r="F24" s="281"/>
      <c r="G24" s="281"/>
      <c r="H24" s="281"/>
      <c r="I24" s="281"/>
      <c r="J24" s="281"/>
      <c r="K24" s="281"/>
      <c r="L24" s="74"/>
    </row>
    <row r="25" spans="1:12" ht="15.75" x14ac:dyDescent="0.25">
      <c r="A25" s="72"/>
      <c r="B25" s="71"/>
      <c r="C25" s="71"/>
      <c r="D25" s="71"/>
      <c r="E25" s="71"/>
      <c r="F25" s="71"/>
      <c r="G25" s="71"/>
      <c r="H25" s="71"/>
      <c r="I25" s="71"/>
      <c r="J25" s="71"/>
      <c r="K25" s="71"/>
      <c r="L25" s="74"/>
    </row>
    <row r="26" spans="1:12" ht="18.75" x14ac:dyDescent="0.3">
      <c r="A26" s="290" t="s">
        <v>185</v>
      </c>
      <c r="B26" s="291"/>
      <c r="C26" s="291"/>
      <c r="D26" s="291"/>
      <c r="E26" s="291"/>
      <c r="F26" s="291"/>
      <c r="G26" s="291"/>
      <c r="H26" s="291"/>
      <c r="I26" s="291"/>
      <c r="J26" s="291"/>
      <c r="K26" s="291"/>
      <c r="L26" s="74"/>
    </row>
    <row r="27" spans="1:12" s="70" customFormat="1" ht="15.75" x14ac:dyDescent="0.25">
      <c r="A27" s="72"/>
      <c r="B27" s="71" t="s">
        <v>173</v>
      </c>
      <c r="C27" s="71"/>
      <c r="D27" s="71"/>
      <c r="E27" s="71"/>
      <c r="F27" s="71"/>
      <c r="G27" s="71"/>
      <c r="H27" s="71"/>
      <c r="I27" s="71"/>
      <c r="J27" s="71"/>
      <c r="K27" s="71"/>
      <c r="L27" s="74"/>
    </row>
    <row r="28" spans="1:12" s="70" customFormat="1" ht="15.75" x14ac:dyDescent="0.25">
      <c r="A28" s="72"/>
      <c r="C28" s="281" t="s">
        <v>170</v>
      </c>
      <c r="D28" s="281"/>
      <c r="E28" s="281"/>
      <c r="F28" s="71"/>
      <c r="G28" s="71"/>
      <c r="H28" s="71"/>
      <c r="I28" s="71"/>
      <c r="J28" s="71"/>
      <c r="K28" s="71"/>
      <c r="L28" s="74"/>
    </row>
    <row r="29" spans="1:12" s="70" customFormat="1" ht="15.75" x14ac:dyDescent="0.25">
      <c r="A29" s="72"/>
      <c r="C29" s="281" t="s">
        <v>171</v>
      </c>
      <c r="D29" s="281"/>
      <c r="E29" s="281"/>
      <c r="F29" s="71"/>
      <c r="G29" s="71"/>
      <c r="H29" s="71"/>
      <c r="I29" s="71"/>
      <c r="J29" s="71"/>
      <c r="K29" s="71"/>
      <c r="L29" s="74"/>
    </row>
    <row r="30" spans="1:12" s="70" customFormat="1" ht="15.75" x14ac:dyDescent="0.25">
      <c r="A30" s="72"/>
      <c r="C30" s="281" t="s">
        <v>175</v>
      </c>
      <c r="D30" s="281"/>
      <c r="E30" s="281"/>
      <c r="F30" s="71"/>
      <c r="G30" s="71"/>
      <c r="H30" s="71"/>
      <c r="I30" s="71"/>
      <c r="J30" s="71"/>
      <c r="K30" s="71"/>
      <c r="L30" s="74"/>
    </row>
    <row r="31" spans="1:12" s="70" customFormat="1" ht="15.75" x14ac:dyDescent="0.25">
      <c r="A31" s="72"/>
      <c r="C31" s="71"/>
      <c r="D31" s="71"/>
      <c r="E31" s="71"/>
      <c r="F31" s="71"/>
      <c r="G31" s="71"/>
      <c r="H31" s="71"/>
      <c r="I31" s="71"/>
      <c r="J31" s="71"/>
      <c r="K31" s="71"/>
      <c r="L31" s="74"/>
    </row>
    <row r="32" spans="1:12" s="70" customFormat="1" ht="15.75" x14ac:dyDescent="0.25">
      <c r="A32" s="72"/>
      <c r="B32" s="70" t="s">
        <v>172</v>
      </c>
      <c r="C32" s="71"/>
      <c r="D32" s="71"/>
      <c r="E32" s="71"/>
      <c r="F32" s="71"/>
      <c r="G32" s="71"/>
      <c r="H32" s="71"/>
      <c r="I32" s="71"/>
      <c r="J32" s="71"/>
      <c r="K32" s="71"/>
      <c r="L32" s="74"/>
    </row>
    <row r="33" spans="1:12" s="70" customFormat="1" ht="15.75" x14ac:dyDescent="0.25">
      <c r="A33" s="72"/>
      <c r="C33" s="281" t="s">
        <v>174</v>
      </c>
      <c r="D33" s="281"/>
      <c r="E33" s="281"/>
      <c r="F33" s="281"/>
      <c r="G33" s="281"/>
      <c r="H33" s="281"/>
      <c r="I33" s="71"/>
      <c r="J33" s="71"/>
      <c r="K33" s="71"/>
      <c r="L33" s="74"/>
    </row>
    <row r="34" spans="1:12" s="70" customFormat="1" ht="15.75" x14ac:dyDescent="0.25">
      <c r="A34" s="72"/>
      <c r="C34" s="281" t="s">
        <v>176</v>
      </c>
      <c r="D34" s="281"/>
      <c r="E34" s="281"/>
      <c r="F34" s="281"/>
      <c r="G34" s="281"/>
      <c r="H34" s="281"/>
      <c r="I34" s="71"/>
      <c r="J34" s="71"/>
      <c r="K34" s="71"/>
      <c r="L34" s="74"/>
    </row>
    <row r="35" spans="1:12" s="70" customFormat="1" ht="15.75" x14ac:dyDescent="0.25">
      <c r="A35" s="72"/>
      <c r="C35" s="281" t="s">
        <v>177</v>
      </c>
      <c r="D35" s="281"/>
      <c r="E35" s="281"/>
      <c r="F35" s="281"/>
      <c r="G35" s="281"/>
      <c r="H35" s="281"/>
      <c r="I35" s="71"/>
      <c r="J35" s="71"/>
      <c r="K35" s="71"/>
      <c r="L35" s="74"/>
    </row>
    <row r="36" spans="1:12" s="70" customFormat="1" ht="15.75" x14ac:dyDescent="0.25">
      <c r="A36" s="72"/>
      <c r="B36" s="71"/>
      <c r="C36" s="71"/>
      <c r="D36" s="71"/>
      <c r="E36" s="71"/>
      <c r="F36" s="71"/>
      <c r="G36" s="71"/>
      <c r="H36" s="71"/>
      <c r="I36" s="71"/>
      <c r="J36" s="71"/>
      <c r="K36" s="71"/>
      <c r="L36" s="74"/>
    </row>
    <row r="37" spans="1:12" s="70" customFormat="1" ht="15.75" x14ac:dyDescent="0.25">
      <c r="A37" s="72"/>
      <c r="B37" s="281" t="s">
        <v>178</v>
      </c>
      <c r="C37" s="281"/>
      <c r="D37" s="281"/>
      <c r="E37" s="281"/>
      <c r="F37" s="281"/>
      <c r="G37" s="281"/>
      <c r="H37" s="281"/>
      <c r="I37" s="281"/>
      <c r="J37" s="281"/>
      <c r="K37" s="281"/>
      <c r="L37" s="74"/>
    </row>
    <row r="38" spans="1:12" s="70" customFormat="1" ht="15.75" x14ac:dyDescent="0.25">
      <c r="A38" s="72"/>
      <c r="B38" s="281" t="s">
        <v>183</v>
      </c>
      <c r="C38" s="281"/>
      <c r="D38" s="281"/>
      <c r="E38" s="281"/>
      <c r="F38" s="339" t="s">
        <v>439</v>
      </c>
      <c r="G38" s="340"/>
      <c r="H38" s="340"/>
      <c r="I38" s="340"/>
      <c r="J38" s="340"/>
      <c r="K38" s="340"/>
      <c r="L38" s="74"/>
    </row>
    <row r="39" spans="1:12" s="70" customFormat="1" ht="15.75" x14ac:dyDescent="0.25">
      <c r="A39" s="72"/>
      <c r="B39" s="277" t="s">
        <v>182</v>
      </c>
      <c r="C39" s="277"/>
      <c r="D39" s="277"/>
      <c r="E39" s="277"/>
      <c r="F39" s="277" t="s">
        <v>181</v>
      </c>
      <c r="G39" s="277"/>
      <c r="H39" s="277"/>
      <c r="I39" s="277"/>
      <c r="J39" s="277"/>
      <c r="K39" s="277"/>
      <c r="L39" s="74"/>
    </row>
    <row r="40" spans="1:12" s="70" customFormat="1" ht="15.75" x14ac:dyDescent="0.25">
      <c r="A40" s="72"/>
      <c r="B40" s="277" t="s">
        <v>179</v>
      </c>
      <c r="C40" s="277"/>
      <c r="D40" s="277"/>
      <c r="E40" s="277"/>
      <c r="F40" s="287" t="s">
        <v>180</v>
      </c>
      <c r="G40" s="287"/>
      <c r="H40" s="287"/>
      <c r="I40" s="287"/>
      <c r="J40" s="287"/>
      <c r="K40" s="287"/>
      <c r="L40" s="74"/>
    </row>
    <row r="41" spans="1:12" s="70" customFormat="1" ht="15.75" x14ac:dyDescent="0.25">
      <c r="A41" s="72"/>
      <c r="B41" s="277" t="s">
        <v>184</v>
      </c>
      <c r="C41" s="277"/>
      <c r="D41" s="277"/>
      <c r="E41" s="277"/>
      <c r="F41" s="83"/>
      <c r="G41" s="71"/>
      <c r="H41" s="71"/>
      <c r="I41" s="71"/>
      <c r="J41" s="71"/>
      <c r="K41" s="71"/>
      <c r="L41" s="74"/>
    </row>
    <row r="42" spans="1:12" s="70" customFormat="1" ht="15.75" x14ac:dyDescent="0.25">
      <c r="A42" s="72"/>
      <c r="B42" s="73"/>
      <c r="C42" s="73"/>
      <c r="D42" s="73"/>
      <c r="E42" s="73"/>
      <c r="F42" s="83"/>
      <c r="G42" s="71"/>
      <c r="H42" s="71"/>
      <c r="I42" s="71"/>
      <c r="J42" s="71"/>
      <c r="K42" s="71"/>
      <c r="L42" s="74"/>
    </row>
    <row r="43" spans="1:12" s="70" customFormat="1" ht="15.75" x14ac:dyDescent="0.25">
      <c r="A43" s="72"/>
      <c r="B43" s="73" t="s">
        <v>290</v>
      </c>
      <c r="C43" s="73"/>
      <c r="D43" s="73"/>
      <c r="E43" s="73"/>
      <c r="F43" s="83"/>
      <c r="G43" s="71"/>
      <c r="H43" s="71"/>
      <c r="I43" s="71"/>
      <c r="J43" s="71"/>
      <c r="K43" s="71"/>
      <c r="L43" s="74"/>
    </row>
    <row r="44" spans="1:12" s="70" customFormat="1" ht="15.75" x14ac:dyDescent="0.25">
      <c r="A44" s="72"/>
      <c r="B44" s="71"/>
      <c r="C44" s="71"/>
      <c r="D44" s="71"/>
      <c r="E44" s="71"/>
      <c r="F44" s="71"/>
      <c r="G44" s="71"/>
      <c r="H44" s="71"/>
      <c r="I44" s="71"/>
      <c r="J44" s="71"/>
      <c r="K44" s="71"/>
      <c r="L44" s="74"/>
    </row>
    <row r="45" spans="1:12" s="70" customFormat="1" ht="20.25" x14ac:dyDescent="0.3">
      <c r="A45" s="312" t="s">
        <v>444</v>
      </c>
      <c r="B45" s="313"/>
      <c r="C45" s="313"/>
      <c r="D45" s="313"/>
      <c r="E45" s="313"/>
      <c r="F45" s="313"/>
      <c r="G45" s="313"/>
      <c r="H45" s="313"/>
      <c r="I45" s="313"/>
      <c r="J45" s="313"/>
      <c r="K45" s="313"/>
      <c r="L45" s="314"/>
    </row>
    <row r="46" spans="1:12" s="70" customFormat="1" ht="15.75" x14ac:dyDescent="0.25">
      <c r="A46" s="72"/>
      <c r="B46" s="71"/>
      <c r="C46" s="71"/>
      <c r="D46" s="71"/>
      <c r="E46" s="71"/>
      <c r="F46" s="71"/>
      <c r="G46" s="71"/>
      <c r="H46" s="71"/>
      <c r="I46" s="71"/>
      <c r="J46" s="71"/>
      <c r="K46" s="71"/>
      <c r="L46" s="74"/>
    </row>
    <row r="47" spans="1:12" ht="15.75" x14ac:dyDescent="0.25">
      <c r="A47" s="77" t="s">
        <v>119</v>
      </c>
      <c r="B47" s="281" t="s">
        <v>339</v>
      </c>
      <c r="C47" s="281"/>
      <c r="D47" s="281"/>
      <c r="E47" s="281"/>
      <c r="F47" s="281"/>
      <c r="G47" s="281"/>
      <c r="H47" s="281"/>
      <c r="I47" s="281"/>
      <c r="J47" s="281"/>
      <c r="K47" s="281"/>
      <c r="L47" s="74"/>
    </row>
    <row r="48" spans="1:12" ht="15.75" x14ac:dyDescent="0.25">
      <c r="A48" s="78"/>
      <c r="B48" s="71"/>
      <c r="C48" s="71"/>
      <c r="D48" s="71"/>
      <c r="E48" s="71"/>
      <c r="F48" s="71"/>
      <c r="G48" s="71"/>
      <c r="H48" s="71"/>
      <c r="I48" s="71"/>
      <c r="J48" s="71"/>
      <c r="K48" s="71"/>
      <c r="L48" s="74"/>
    </row>
    <row r="49" spans="1:12" ht="31.5" customHeight="1" x14ac:dyDescent="0.25">
      <c r="A49" s="77" t="s">
        <v>120</v>
      </c>
      <c r="B49" s="285" t="s">
        <v>122</v>
      </c>
      <c r="C49" s="285"/>
      <c r="D49" s="285"/>
      <c r="E49" s="285"/>
      <c r="F49" s="285"/>
      <c r="G49" s="285"/>
      <c r="H49" s="285"/>
      <c r="I49" s="285"/>
      <c r="J49" s="285"/>
      <c r="K49" s="285"/>
      <c r="L49" s="286"/>
    </row>
    <row r="50" spans="1:12" ht="15.75" x14ac:dyDescent="0.25">
      <c r="A50" s="78"/>
      <c r="B50" s="73"/>
      <c r="C50" s="73"/>
      <c r="D50" s="73"/>
      <c r="E50" s="71"/>
      <c r="F50" s="71"/>
      <c r="G50" s="71"/>
      <c r="H50" s="71"/>
      <c r="I50" s="71"/>
      <c r="J50" s="71"/>
      <c r="K50" s="71"/>
      <c r="L50" s="74"/>
    </row>
    <row r="51" spans="1:12" ht="117" customHeight="1" x14ac:dyDescent="0.2">
      <c r="A51" s="77" t="s">
        <v>121</v>
      </c>
      <c r="B51" s="337" t="s">
        <v>380</v>
      </c>
      <c r="C51" s="337"/>
      <c r="D51" s="337"/>
      <c r="E51" s="337"/>
      <c r="F51" s="337"/>
      <c r="G51" s="337"/>
      <c r="H51" s="337"/>
      <c r="I51" s="337"/>
      <c r="J51" s="337"/>
      <c r="K51" s="337"/>
      <c r="L51" s="338"/>
    </row>
    <row r="52" spans="1:12" ht="15.75" x14ac:dyDescent="0.25">
      <c r="A52" s="78"/>
      <c r="B52" s="73"/>
      <c r="C52" s="73"/>
      <c r="D52" s="73"/>
      <c r="E52" s="71"/>
      <c r="F52" s="71"/>
      <c r="G52" s="71"/>
      <c r="H52" s="71"/>
      <c r="I52" s="71"/>
      <c r="J52" s="71"/>
      <c r="K52" s="71"/>
      <c r="L52" s="74"/>
    </row>
    <row r="53" spans="1:12" ht="15.75" x14ac:dyDescent="0.25">
      <c r="A53" s="77" t="s">
        <v>123</v>
      </c>
      <c r="B53" s="281" t="s">
        <v>132</v>
      </c>
      <c r="C53" s="281"/>
      <c r="D53" s="281"/>
      <c r="E53" s="281"/>
      <c r="F53" s="281"/>
      <c r="G53" s="281"/>
      <c r="H53" s="281"/>
      <c r="I53" s="281"/>
      <c r="J53" s="281"/>
      <c r="K53" s="281"/>
      <c r="L53" s="74"/>
    </row>
    <row r="54" spans="1:12" ht="15.75" x14ac:dyDescent="0.25">
      <c r="A54" s="77"/>
      <c r="B54" s="81" t="s">
        <v>157</v>
      </c>
      <c r="C54" s="309" t="s">
        <v>168</v>
      </c>
      <c r="D54" s="309"/>
      <c r="E54" s="309"/>
      <c r="F54" s="309"/>
      <c r="G54" s="309"/>
      <c r="H54" s="309"/>
      <c r="I54" s="309"/>
      <c r="J54" s="309"/>
      <c r="K54" s="309"/>
      <c r="L54" s="74"/>
    </row>
    <row r="55" spans="1:12" ht="31.5" customHeight="1" x14ac:dyDescent="0.25">
      <c r="A55" s="78"/>
      <c r="B55" s="82" t="s">
        <v>343</v>
      </c>
      <c r="C55" s="278" t="s">
        <v>342</v>
      </c>
      <c r="D55" s="278"/>
      <c r="E55" s="278"/>
      <c r="F55" s="278"/>
      <c r="G55" s="278"/>
      <c r="H55" s="278"/>
      <c r="I55" s="278"/>
      <c r="J55" s="278"/>
      <c r="K55" s="278"/>
      <c r="L55" s="74"/>
    </row>
    <row r="56" spans="1:12" ht="31.5" customHeight="1" x14ac:dyDescent="0.25">
      <c r="A56" s="78"/>
      <c r="B56" s="82" t="s">
        <v>344</v>
      </c>
      <c r="C56" s="278" t="s">
        <v>381</v>
      </c>
      <c r="D56" s="278"/>
      <c r="E56" s="278"/>
      <c r="F56" s="278"/>
      <c r="G56" s="278"/>
      <c r="H56" s="278"/>
      <c r="I56" s="278"/>
      <c r="J56" s="278"/>
      <c r="K56" s="278"/>
      <c r="L56" s="74"/>
    </row>
    <row r="57" spans="1:12" ht="31.5" customHeight="1" x14ac:dyDescent="0.25">
      <c r="A57" s="78"/>
      <c r="B57" s="82" t="s">
        <v>345</v>
      </c>
      <c r="C57" s="279" t="s">
        <v>346</v>
      </c>
      <c r="D57" s="279"/>
      <c r="E57" s="279"/>
      <c r="F57" s="279"/>
      <c r="G57" s="279"/>
      <c r="H57" s="279"/>
      <c r="I57" s="279"/>
      <c r="J57" s="279"/>
      <c r="K57" s="279"/>
      <c r="L57" s="74"/>
    </row>
    <row r="58" spans="1:12" ht="15.75" x14ac:dyDescent="0.25">
      <c r="A58" s="78"/>
      <c r="B58" s="82" t="s">
        <v>347</v>
      </c>
      <c r="C58" s="277" t="s">
        <v>158</v>
      </c>
      <c r="D58" s="277"/>
      <c r="E58" s="277"/>
      <c r="F58" s="277"/>
      <c r="G58" s="277"/>
      <c r="H58" s="277"/>
      <c r="I58" s="277"/>
      <c r="J58" s="277"/>
      <c r="K58" s="277"/>
      <c r="L58" s="74"/>
    </row>
    <row r="59" spans="1:12" ht="15.75" x14ac:dyDescent="0.25">
      <c r="A59" s="78"/>
      <c r="B59" s="82" t="s">
        <v>348</v>
      </c>
      <c r="C59" s="277" t="s">
        <v>159</v>
      </c>
      <c r="D59" s="277"/>
      <c r="E59" s="277"/>
      <c r="F59" s="277"/>
      <c r="G59" s="277"/>
      <c r="H59" s="277"/>
      <c r="I59" s="277"/>
      <c r="J59" s="277"/>
      <c r="K59" s="277"/>
      <c r="L59" s="74"/>
    </row>
    <row r="60" spans="1:12" ht="15.75" x14ac:dyDescent="0.25">
      <c r="A60" s="78"/>
      <c r="B60" s="80" t="s">
        <v>349</v>
      </c>
      <c r="C60" s="279" t="s">
        <v>382</v>
      </c>
      <c r="D60" s="279"/>
      <c r="E60" s="279"/>
      <c r="F60" s="279"/>
      <c r="G60" s="279"/>
      <c r="H60" s="279"/>
      <c r="I60" s="279"/>
      <c r="J60" s="279"/>
      <c r="K60" s="279"/>
      <c r="L60" s="74"/>
    </row>
    <row r="61" spans="1:12" ht="15.75" x14ac:dyDescent="0.25">
      <c r="A61" s="78"/>
      <c r="B61" s="80" t="s">
        <v>350</v>
      </c>
      <c r="C61" s="279" t="s">
        <v>383</v>
      </c>
      <c r="D61" s="279"/>
      <c r="E61" s="279"/>
      <c r="F61" s="279"/>
      <c r="G61" s="279"/>
      <c r="H61" s="279"/>
      <c r="I61" s="279"/>
      <c r="J61" s="279"/>
      <c r="K61" s="279"/>
      <c r="L61" s="74"/>
    </row>
    <row r="62" spans="1:12" ht="31.5" customHeight="1" x14ac:dyDescent="0.25">
      <c r="A62" s="78"/>
      <c r="B62" s="80" t="s">
        <v>351</v>
      </c>
      <c r="C62" s="279" t="s">
        <v>384</v>
      </c>
      <c r="D62" s="279"/>
      <c r="E62" s="279"/>
      <c r="F62" s="279"/>
      <c r="G62" s="279"/>
      <c r="H62" s="279"/>
      <c r="I62" s="279"/>
      <c r="J62" s="279"/>
      <c r="K62" s="279"/>
      <c r="L62" s="74"/>
    </row>
    <row r="63" spans="1:12" ht="31.5" customHeight="1" x14ac:dyDescent="0.25">
      <c r="A63" s="78"/>
      <c r="B63" s="80" t="s">
        <v>352</v>
      </c>
      <c r="C63" s="279" t="s">
        <v>385</v>
      </c>
      <c r="D63" s="279"/>
      <c r="E63" s="279"/>
      <c r="F63" s="279"/>
      <c r="G63" s="279"/>
      <c r="H63" s="279"/>
      <c r="I63" s="279"/>
      <c r="J63" s="279"/>
      <c r="K63" s="279"/>
      <c r="L63" s="74"/>
    </row>
    <row r="64" spans="1:12" ht="31.5" customHeight="1" x14ac:dyDescent="0.25">
      <c r="A64" s="78"/>
      <c r="B64" s="80" t="s">
        <v>353</v>
      </c>
      <c r="C64" s="279" t="s">
        <v>386</v>
      </c>
      <c r="D64" s="279"/>
      <c r="E64" s="279"/>
      <c r="F64" s="279"/>
      <c r="G64" s="279"/>
      <c r="H64" s="279"/>
      <c r="I64" s="279"/>
      <c r="J64" s="279"/>
      <c r="K64" s="279"/>
      <c r="L64" s="74"/>
    </row>
    <row r="65" spans="1:12" ht="15.75" x14ac:dyDescent="0.25">
      <c r="A65" s="78"/>
      <c r="B65" s="82" t="s">
        <v>356</v>
      </c>
      <c r="C65" s="279" t="s">
        <v>360</v>
      </c>
      <c r="D65" s="280"/>
      <c r="E65" s="280"/>
      <c r="F65" s="280"/>
      <c r="G65" s="280"/>
      <c r="H65" s="280"/>
      <c r="I65" s="280"/>
      <c r="J65" s="280"/>
      <c r="K65" s="280"/>
      <c r="L65" s="74"/>
    </row>
    <row r="66" spans="1:12" ht="15.75" x14ac:dyDescent="0.25">
      <c r="A66" s="78"/>
      <c r="B66" s="82" t="s">
        <v>357</v>
      </c>
      <c r="C66" s="278" t="s">
        <v>358</v>
      </c>
      <c r="D66" s="278"/>
      <c r="E66" s="278"/>
      <c r="F66" s="278"/>
      <c r="G66" s="278"/>
      <c r="H66" s="278"/>
      <c r="I66" s="278"/>
      <c r="J66" s="278"/>
      <c r="K66" s="278"/>
      <c r="L66" s="74"/>
    </row>
    <row r="67" spans="1:12" ht="47.25" customHeight="1" x14ac:dyDescent="0.25">
      <c r="A67" s="78"/>
      <c r="B67" s="179" t="s">
        <v>354</v>
      </c>
      <c r="C67" s="279" t="s">
        <v>355</v>
      </c>
      <c r="D67" s="280"/>
      <c r="E67" s="280"/>
      <c r="F67" s="280"/>
      <c r="G67" s="280"/>
      <c r="H67" s="280"/>
      <c r="I67" s="280"/>
      <c r="J67" s="280"/>
      <c r="K67" s="280"/>
      <c r="L67" s="74"/>
    </row>
    <row r="68" spans="1:12" ht="15.75" x14ac:dyDescent="0.25">
      <c r="A68" s="78"/>
      <c r="B68" s="82" t="s">
        <v>359</v>
      </c>
      <c r="C68" s="279" t="s">
        <v>366</v>
      </c>
      <c r="D68" s="280"/>
      <c r="E68" s="280"/>
      <c r="F68" s="280"/>
      <c r="G68" s="280"/>
      <c r="H68" s="280"/>
      <c r="I68" s="280"/>
      <c r="J68" s="280"/>
      <c r="K68" s="280"/>
      <c r="L68" s="74"/>
    </row>
    <row r="69" spans="1:12" ht="31.5" customHeight="1" x14ac:dyDescent="0.25">
      <c r="A69" s="78"/>
      <c r="B69" s="82" t="s">
        <v>361</v>
      </c>
      <c r="C69" s="279" t="s">
        <v>362</v>
      </c>
      <c r="D69" s="279"/>
      <c r="E69" s="279"/>
      <c r="F69" s="279"/>
      <c r="G69" s="279"/>
      <c r="H69" s="279"/>
      <c r="I69" s="279"/>
      <c r="J69" s="279"/>
      <c r="K69" s="279"/>
      <c r="L69" s="74"/>
    </row>
    <row r="70" spans="1:12" ht="31.5" customHeight="1" x14ac:dyDescent="0.25">
      <c r="A70" s="78"/>
      <c r="B70" s="82" t="s">
        <v>363</v>
      </c>
      <c r="C70" s="278" t="s">
        <v>387</v>
      </c>
      <c r="D70" s="278"/>
      <c r="E70" s="278"/>
      <c r="F70" s="278"/>
      <c r="G70" s="278"/>
      <c r="H70" s="278"/>
      <c r="I70" s="278"/>
      <c r="J70" s="278"/>
      <c r="K70" s="278"/>
      <c r="L70" s="74"/>
    </row>
    <row r="71" spans="1:12" ht="31.5" customHeight="1" x14ac:dyDescent="0.25">
      <c r="A71" s="78"/>
      <c r="B71" s="82" t="s">
        <v>364</v>
      </c>
      <c r="C71" s="278" t="s">
        <v>388</v>
      </c>
      <c r="D71" s="278"/>
      <c r="E71" s="278"/>
      <c r="F71" s="278"/>
      <c r="G71" s="278"/>
      <c r="H71" s="278"/>
      <c r="I71" s="278"/>
      <c r="J71" s="278"/>
      <c r="K71" s="278"/>
      <c r="L71" s="74"/>
    </row>
    <row r="72" spans="1:12" ht="31.5" customHeight="1" x14ac:dyDescent="0.25">
      <c r="A72" s="78"/>
      <c r="B72" s="82" t="s">
        <v>365</v>
      </c>
      <c r="C72" s="278" t="s">
        <v>389</v>
      </c>
      <c r="D72" s="278"/>
      <c r="E72" s="278"/>
      <c r="F72" s="278"/>
      <c r="G72" s="278"/>
      <c r="H72" s="278"/>
      <c r="I72" s="278"/>
      <c r="J72" s="278"/>
      <c r="K72" s="278"/>
      <c r="L72" s="74"/>
    </row>
    <row r="73" spans="1:12" ht="47.25" customHeight="1" x14ac:dyDescent="0.25">
      <c r="A73" s="78"/>
      <c r="B73" s="179" t="s">
        <v>367</v>
      </c>
      <c r="C73" s="279" t="s">
        <v>390</v>
      </c>
      <c r="D73" s="280"/>
      <c r="E73" s="280"/>
      <c r="F73" s="280"/>
      <c r="G73" s="280"/>
      <c r="H73" s="280"/>
      <c r="I73" s="280"/>
      <c r="J73" s="280"/>
      <c r="K73" s="280"/>
      <c r="L73" s="74"/>
    </row>
    <row r="74" spans="1:12" ht="15.75" x14ac:dyDescent="0.25">
      <c r="A74" s="78"/>
      <c r="B74" s="82" t="s">
        <v>368</v>
      </c>
      <c r="C74" s="278" t="s">
        <v>369</v>
      </c>
      <c r="D74" s="278"/>
      <c r="E74" s="278"/>
      <c r="F74" s="278"/>
      <c r="G74" s="278"/>
      <c r="H74" s="278"/>
      <c r="I74" s="278"/>
      <c r="J74" s="278"/>
      <c r="K74" s="278"/>
      <c r="L74" s="74"/>
    </row>
    <row r="75" spans="1:12" ht="15.75" x14ac:dyDescent="0.25">
      <c r="A75" s="78"/>
      <c r="B75" s="82" t="s">
        <v>370</v>
      </c>
      <c r="C75" s="279" t="s">
        <v>371</v>
      </c>
      <c r="D75" s="279"/>
      <c r="E75" s="279"/>
      <c r="F75" s="279"/>
      <c r="G75" s="279"/>
      <c r="H75" s="279"/>
      <c r="I75" s="279"/>
      <c r="J75" s="279"/>
      <c r="K75" s="279"/>
      <c r="L75" s="74"/>
    </row>
    <row r="76" spans="1:12" ht="15.75" x14ac:dyDescent="0.25">
      <c r="A76" s="78"/>
      <c r="B76" s="82" t="s">
        <v>372</v>
      </c>
      <c r="C76" s="278" t="s">
        <v>373</v>
      </c>
      <c r="D76" s="278"/>
      <c r="E76" s="278"/>
      <c r="F76" s="278"/>
      <c r="G76" s="278"/>
      <c r="H76" s="278"/>
      <c r="I76" s="278"/>
      <c r="J76" s="278"/>
      <c r="K76" s="278"/>
      <c r="L76" s="74"/>
    </row>
    <row r="77" spans="1:12" ht="15.75" x14ac:dyDescent="0.25">
      <c r="A77" s="78"/>
      <c r="B77" s="82" t="s">
        <v>374</v>
      </c>
      <c r="C77" s="279" t="s">
        <v>391</v>
      </c>
      <c r="D77" s="279"/>
      <c r="E77" s="279"/>
      <c r="F77" s="279"/>
      <c r="G77" s="279"/>
      <c r="H77" s="279"/>
      <c r="I77" s="279"/>
      <c r="J77" s="279"/>
      <c r="K77" s="279"/>
      <c r="L77" s="74"/>
    </row>
    <row r="78" spans="1:12" ht="15.75" x14ac:dyDescent="0.25">
      <c r="A78" s="78"/>
      <c r="B78" s="82" t="s">
        <v>375</v>
      </c>
      <c r="C78" s="278" t="s">
        <v>376</v>
      </c>
      <c r="D78" s="278"/>
      <c r="E78" s="278"/>
      <c r="F78" s="278"/>
      <c r="G78" s="278"/>
      <c r="H78" s="278"/>
      <c r="I78" s="278"/>
      <c r="J78" s="278"/>
      <c r="K78" s="278"/>
      <c r="L78" s="74"/>
    </row>
    <row r="79" spans="1:12" ht="15.75" x14ac:dyDescent="0.25">
      <c r="A79" s="78"/>
      <c r="B79" s="80"/>
      <c r="C79" s="73"/>
      <c r="D79" s="73"/>
      <c r="E79" s="71"/>
      <c r="F79" s="71"/>
      <c r="G79" s="71"/>
      <c r="H79" s="71"/>
      <c r="I79" s="71"/>
      <c r="J79" s="71"/>
      <c r="K79" s="71"/>
      <c r="L79" s="74"/>
    </row>
    <row r="80" spans="1:12" ht="47.25" customHeight="1" x14ac:dyDescent="0.25">
      <c r="A80" s="77" t="s">
        <v>131</v>
      </c>
      <c r="B80" s="278" t="s">
        <v>130</v>
      </c>
      <c r="C80" s="278"/>
      <c r="D80" s="278"/>
      <c r="E80" s="278"/>
      <c r="F80" s="278"/>
      <c r="G80" s="278"/>
      <c r="H80" s="278"/>
      <c r="I80" s="278"/>
      <c r="J80" s="278"/>
      <c r="K80" s="278"/>
      <c r="L80" s="74"/>
    </row>
    <row r="81" spans="1:12" ht="15.75" x14ac:dyDescent="0.25">
      <c r="A81" s="78"/>
      <c r="B81" s="80" t="s">
        <v>124</v>
      </c>
      <c r="C81" s="281" t="s">
        <v>127</v>
      </c>
      <c r="D81" s="281"/>
      <c r="E81" s="281"/>
      <c r="F81" s="281"/>
      <c r="G81" s="281"/>
      <c r="H81" s="281"/>
      <c r="I81" s="281"/>
      <c r="J81" s="281"/>
      <c r="K81" s="281"/>
      <c r="L81" s="74"/>
    </row>
    <row r="82" spans="1:12" ht="31.5" customHeight="1" x14ac:dyDescent="0.25">
      <c r="A82" s="78"/>
      <c r="B82" s="80" t="s">
        <v>125</v>
      </c>
      <c r="C82" s="278" t="s">
        <v>128</v>
      </c>
      <c r="D82" s="278"/>
      <c r="E82" s="278"/>
      <c r="F82" s="278"/>
      <c r="G82" s="278"/>
      <c r="H82" s="278"/>
      <c r="I82" s="278"/>
      <c r="J82" s="278"/>
      <c r="K82" s="278"/>
      <c r="L82" s="74"/>
    </row>
    <row r="83" spans="1:12" ht="31.5" customHeight="1" x14ac:dyDescent="0.25">
      <c r="A83" s="78"/>
      <c r="B83" s="80" t="s">
        <v>126</v>
      </c>
      <c r="C83" s="278" t="s">
        <v>129</v>
      </c>
      <c r="D83" s="278"/>
      <c r="E83" s="278"/>
      <c r="F83" s="278"/>
      <c r="G83" s="278"/>
      <c r="H83" s="278"/>
      <c r="I83" s="278"/>
      <c r="J83" s="278"/>
      <c r="K83" s="278"/>
      <c r="L83" s="74"/>
    </row>
    <row r="84" spans="1:12" ht="15.75" x14ac:dyDescent="0.25">
      <c r="A84" s="78"/>
      <c r="B84" s="80" t="s">
        <v>340</v>
      </c>
      <c r="C84" s="71"/>
      <c r="D84" s="71"/>
      <c r="E84" s="71"/>
      <c r="F84" s="71"/>
      <c r="G84" s="71"/>
      <c r="H84" s="71"/>
      <c r="I84" s="71"/>
      <c r="J84" s="71"/>
      <c r="K84" s="71"/>
      <c r="L84" s="74"/>
    </row>
    <row r="85" spans="1:12" ht="15.75" x14ac:dyDescent="0.25">
      <c r="A85" s="78"/>
      <c r="B85" s="80"/>
      <c r="C85" s="71"/>
      <c r="D85" s="71"/>
      <c r="E85" s="71"/>
      <c r="F85" s="71"/>
      <c r="G85" s="71"/>
      <c r="H85" s="71"/>
      <c r="I85" s="71"/>
      <c r="J85" s="71"/>
      <c r="K85" s="71"/>
      <c r="L85" s="74"/>
    </row>
    <row r="86" spans="1:12" s="70" customFormat="1" ht="31.5" customHeight="1" x14ac:dyDescent="0.25">
      <c r="A86" s="78"/>
      <c r="B86" s="80"/>
      <c r="C86" s="285" t="s">
        <v>187</v>
      </c>
      <c r="D86" s="285"/>
      <c r="E86" s="285"/>
      <c r="F86" s="285"/>
      <c r="G86" s="285"/>
      <c r="H86" s="285"/>
      <c r="I86" s="285"/>
      <c r="J86" s="285"/>
      <c r="K86" s="285"/>
      <c r="L86" s="74"/>
    </row>
    <row r="87" spans="1:12" s="70" customFormat="1" ht="15.75" x14ac:dyDescent="0.25">
      <c r="A87" s="78"/>
      <c r="B87" s="80"/>
      <c r="C87" s="71"/>
      <c r="D87" s="71"/>
      <c r="E87" s="71"/>
      <c r="F87" s="71"/>
      <c r="G87" s="71"/>
      <c r="H87" s="71"/>
      <c r="I87" s="71"/>
      <c r="J87" s="71"/>
      <c r="K87" s="71"/>
      <c r="L87" s="74"/>
    </row>
    <row r="88" spans="1:12" s="70" customFormat="1" ht="16.5" thickBot="1" x14ac:dyDescent="0.3">
      <c r="A88" s="79"/>
      <c r="B88" s="75"/>
      <c r="C88" s="75"/>
      <c r="D88" s="75"/>
      <c r="E88" s="75"/>
      <c r="F88" s="75"/>
      <c r="G88" s="75"/>
      <c r="H88" s="75"/>
      <c r="I88" s="75"/>
      <c r="J88" s="75"/>
      <c r="K88" s="75"/>
      <c r="L88" s="76"/>
    </row>
    <row r="89" spans="1:12" s="70" customFormat="1" ht="15.75" x14ac:dyDescent="0.25"/>
    <row r="90" spans="1:12" s="70" customFormat="1" ht="15.75" x14ac:dyDescent="0.25"/>
    <row r="91" spans="1:12" s="70" customFormat="1" ht="47.45" customHeight="1" x14ac:dyDescent="0.25">
      <c r="A91" s="288" t="s">
        <v>188</v>
      </c>
      <c r="B91" s="288"/>
      <c r="C91" s="288"/>
      <c r="D91" s="288"/>
      <c r="E91" s="288"/>
      <c r="F91" s="288"/>
      <c r="G91" s="288"/>
      <c r="H91" s="288"/>
      <c r="I91" s="288"/>
      <c r="J91" s="288"/>
      <c r="K91" s="288"/>
      <c r="L91" s="288"/>
    </row>
    <row r="92" spans="1:12" s="70" customFormat="1" ht="15.75" x14ac:dyDescent="0.25">
      <c r="A92" s="15" t="s">
        <v>98</v>
      </c>
      <c r="B92" s="275" t="s">
        <v>11</v>
      </c>
      <c r="C92" s="275"/>
      <c r="D92" s="275"/>
      <c r="E92" s="275"/>
      <c r="F92" s="275"/>
      <c r="G92" s="275"/>
      <c r="H92" s="275"/>
      <c r="I92" s="275"/>
    </row>
    <row r="93" spans="1:12" s="70" customFormat="1" ht="15.75" x14ac:dyDescent="0.25">
      <c r="A93" s="15" t="s">
        <v>99</v>
      </c>
      <c r="B93" s="289" t="s">
        <v>189</v>
      </c>
      <c r="C93" s="289"/>
      <c r="D93" s="289"/>
      <c r="E93" s="289"/>
      <c r="F93" s="289"/>
      <c r="G93" s="289"/>
      <c r="H93" s="289"/>
      <c r="I93" s="289"/>
      <c r="J93" s="273"/>
    </row>
    <row r="94" spans="1:12" s="70" customFormat="1" ht="15.75" x14ac:dyDescent="0.25">
      <c r="A94" s="15" t="s">
        <v>100</v>
      </c>
      <c r="B94" s="275" t="s">
        <v>9</v>
      </c>
      <c r="C94" s="275"/>
      <c r="D94" s="275"/>
      <c r="E94" s="275"/>
      <c r="F94" s="275"/>
      <c r="G94" s="275"/>
      <c r="H94" s="275"/>
      <c r="I94" s="275"/>
    </row>
    <row r="95" spans="1:12" s="70" customFormat="1" ht="15.75" x14ac:dyDescent="0.25">
      <c r="A95" s="15" t="s">
        <v>101</v>
      </c>
      <c r="B95" s="275" t="s">
        <v>17</v>
      </c>
      <c r="C95" s="275"/>
      <c r="D95" s="275"/>
      <c r="E95" s="275"/>
      <c r="F95" s="275"/>
      <c r="G95" s="275"/>
      <c r="H95" s="275"/>
      <c r="I95" s="275"/>
    </row>
    <row r="96" spans="1:12" s="70" customFormat="1" ht="15.75" x14ac:dyDescent="0.25">
      <c r="A96" s="15" t="s">
        <v>102</v>
      </c>
      <c r="B96" s="275" t="s">
        <v>15</v>
      </c>
      <c r="C96" s="275"/>
      <c r="D96" s="275"/>
      <c r="E96" s="275"/>
      <c r="F96" s="275"/>
      <c r="G96" s="275"/>
      <c r="H96" s="275"/>
      <c r="I96" s="275"/>
    </row>
    <row r="97" spans="1:12" s="70" customFormat="1" ht="15.75" x14ac:dyDescent="0.25">
      <c r="A97" s="15" t="s">
        <v>103</v>
      </c>
      <c r="B97" s="276" t="s">
        <v>16</v>
      </c>
      <c r="C97" s="276"/>
      <c r="D97" s="276"/>
      <c r="E97" s="276"/>
      <c r="F97" s="276"/>
      <c r="G97" s="276"/>
      <c r="H97" s="276"/>
      <c r="I97" s="276"/>
    </row>
    <row r="98" spans="1:12" s="70" customFormat="1" ht="15.75" x14ac:dyDescent="0.25"/>
    <row r="99" spans="1:12" s="70" customFormat="1" ht="15.75" x14ac:dyDescent="0.25">
      <c r="B99" s="444" t="s">
        <v>449</v>
      </c>
      <c r="C99" s="444"/>
      <c r="D99" s="444"/>
      <c r="E99" s="444"/>
      <c r="F99" s="444"/>
      <c r="G99" s="444"/>
      <c r="H99" s="444"/>
      <c r="L99" s="274" t="s">
        <v>445</v>
      </c>
    </row>
    <row r="100" spans="1:12" s="70" customFormat="1" ht="15.75" x14ac:dyDescent="0.25"/>
  </sheetData>
  <mergeCells count="92">
    <mergeCell ref="C70:K70"/>
    <mergeCell ref="C71:K71"/>
    <mergeCell ref="A45:L45"/>
    <mergeCell ref="C78:K78"/>
    <mergeCell ref="C72:K72"/>
    <mergeCell ref="C73:K73"/>
    <mergeCell ref="C74:K74"/>
    <mergeCell ref="C75:K75"/>
    <mergeCell ref="C76:K76"/>
    <mergeCell ref="C77:K77"/>
    <mergeCell ref="C68:K68"/>
    <mergeCell ref="C69:K69"/>
    <mergeCell ref="B24:D24"/>
    <mergeCell ref="E24:K24"/>
    <mergeCell ref="F38:K38"/>
    <mergeCell ref="B37:K37"/>
    <mergeCell ref="C28:E28"/>
    <mergeCell ref="C29:E29"/>
    <mergeCell ref="C30:E30"/>
    <mergeCell ref="C58:K58"/>
    <mergeCell ref="A11:L11"/>
    <mergeCell ref="A14:L14"/>
    <mergeCell ref="C56:K56"/>
    <mergeCell ref="B22:D22"/>
    <mergeCell ref="E22:K22"/>
    <mergeCell ref="C54:K54"/>
    <mergeCell ref="B18:D18"/>
    <mergeCell ref="B51:L51"/>
    <mergeCell ref="B47:K47"/>
    <mergeCell ref="E23:K23"/>
    <mergeCell ref="K1:L1"/>
    <mergeCell ref="A2:B2"/>
    <mergeCell ref="C2:J2"/>
    <mergeCell ref="K2:L2"/>
    <mergeCell ref="A1:B1"/>
    <mergeCell ref="C1:J1"/>
    <mergeCell ref="A3:B3"/>
    <mergeCell ref="K4:L4"/>
    <mergeCell ref="A4:B4"/>
    <mergeCell ref="C3:J3"/>
    <mergeCell ref="K3:L3"/>
    <mergeCell ref="C4:J4"/>
    <mergeCell ref="A5:F6"/>
    <mergeCell ref="G5:L6"/>
    <mergeCell ref="B19:D19"/>
    <mergeCell ref="E19:K19"/>
    <mergeCell ref="A10:L10"/>
    <mergeCell ref="A9:L9"/>
    <mergeCell ref="B17:D17"/>
    <mergeCell ref="E17:K17"/>
    <mergeCell ref="A12:L12"/>
    <mergeCell ref="A8:L8"/>
    <mergeCell ref="B94:I94"/>
    <mergeCell ref="B95:I95"/>
    <mergeCell ref="C33:H33"/>
    <mergeCell ref="B20:D20"/>
    <mergeCell ref="B23:D23"/>
    <mergeCell ref="C35:H35"/>
    <mergeCell ref="A26:K26"/>
    <mergeCell ref="C86:K86"/>
    <mergeCell ref="B80:K80"/>
    <mergeCell ref="B53:K53"/>
    <mergeCell ref="C34:H34"/>
    <mergeCell ref="B40:E40"/>
    <mergeCell ref="A91:L91"/>
    <mergeCell ref="B93:I93"/>
    <mergeCell ref="B92:I92"/>
    <mergeCell ref="C64:K64"/>
    <mergeCell ref="C61:K61"/>
    <mergeCell ref="C62:K62"/>
    <mergeCell ref="C63:K63"/>
    <mergeCell ref="C60:K60"/>
    <mergeCell ref="C57:K57"/>
    <mergeCell ref="C59:K59"/>
    <mergeCell ref="B21:D21"/>
    <mergeCell ref="A16:L16"/>
    <mergeCell ref="B49:L49"/>
    <mergeCell ref="F39:K39"/>
    <mergeCell ref="F40:K40"/>
    <mergeCell ref="B38:E38"/>
    <mergeCell ref="B39:E39"/>
    <mergeCell ref="E18:K18"/>
    <mergeCell ref="B96:I96"/>
    <mergeCell ref="B97:I97"/>
    <mergeCell ref="B41:E41"/>
    <mergeCell ref="C82:K82"/>
    <mergeCell ref="C83:K83"/>
    <mergeCell ref="C65:K65"/>
    <mergeCell ref="C67:K67"/>
    <mergeCell ref="C66:K66"/>
    <mergeCell ref="C81:K81"/>
    <mergeCell ref="C55:K55"/>
  </mergeCells>
  <phoneticPr fontId="0" type="noConversion"/>
  <hyperlinks>
    <hyperlink ref="F40" r:id="rId1" display="http://www.mdaqmd.ca.gov/everyone/inventoryguidelinestoc.htm"/>
    <hyperlink ref="F38" r:id="rId2" display="mdaqmd@ca.gov"/>
  </hyperlinks>
  <printOptions horizontalCentered="1"/>
  <pageMargins left="0.25" right="0.25" top="0.5" bottom="0.5" header="0.25" footer="0.25"/>
  <pageSetup scale="90" fitToHeight="2" orientation="portrait" r:id="rId3"/>
  <headerFooter alignWithMargins="0">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G180"/>
  <sheetViews>
    <sheetView zoomScaleNormal="100" workbookViewId="0">
      <pane xSplit="2" ySplit="7" topLeftCell="C158" activePane="bottomRight" state="frozen"/>
      <selection pane="topRight" activeCell="C1" sqref="C1"/>
      <selection pane="bottomLeft" activeCell="A8" sqref="A8"/>
      <selection pane="bottomRight" activeCell="B178" sqref="B178:H178"/>
    </sheetView>
  </sheetViews>
  <sheetFormatPr defaultRowHeight="12.75" x14ac:dyDescent="0.2"/>
  <cols>
    <col min="1" max="1" width="12" style="123" customWidth="1"/>
    <col min="2" max="2" width="26.28515625" style="119" customWidth="1"/>
    <col min="3" max="12" width="20.7109375" style="119" customWidth="1"/>
    <col min="13" max="13" width="21.85546875" style="119" customWidth="1"/>
    <col min="14" max="18" width="20.7109375" style="119" customWidth="1"/>
    <col min="19" max="16384" width="9.140625" style="119"/>
  </cols>
  <sheetData>
    <row r="1" spans="1:33" ht="20.25" x14ac:dyDescent="0.3">
      <c r="A1" s="11" t="s">
        <v>27</v>
      </c>
      <c r="B1" s="364" t="s">
        <v>169</v>
      </c>
      <c r="C1" s="365"/>
      <c r="D1" s="365"/>
      <c r="E1" s="365"/>
      <c r="F1" s="365"/>
      <c r="G1" s="365"/>
      <c r="H1" s="365"/>
      <c r="I1" s="365"/>
      <c r="J1" s="365"/>
      <c r="K1" s="365"/>
      <c r="L1" s="365"/>
      <c r="M1" s="365"/>
      <c r="N1" s="365"/>
      <c r="O1" s="365"/>
      <c r="P1" s="120"/>
      <c r="Q1" s="9"/>
      <c r="R1" s="11" t="s">
        <v>29</v>
      </c>
      <c r="S1" s="9"/>
      <c r="T1" s="9"/>
      <c r="U1" s="9"/>
      <c r="V1" s="6"/>
      <c r="W1" s="6"/>
      <c r="X1" s="6"/>
      <c r="Y1" s="6"/>
      <c r="Z1" s="6"/>
      <c r="AA1" s="6"/>
      <c r="AB1" s="6"/>
      <c r="AC1" s="6"/>
      <c r="AD1" s="6"/>
      <c r="AE1" s="6"/>
      <c r="AF1" s="6"/>
      <c r="AG1" s="6"/>
    </row>
    <row r="2" spans="1:33" ht="21" customHeight="1" x14ac:dyDescent="0.4">
      <c r="A2" s="18" t="s">
        <v>28</v>
      </c>
      <c r="B2" s="366" t="s">
        <v>24</v>
      </c>
      <c r="C2" s="367"/>
      <c r="D2" s="367"/>
      <c r="E2" s="367"/>
      <c r="F2" s="367"/>
      <c r="G2" s="367"/>
      <c r="H2" s="367"/>
      <c r="I2" s="367"/>
      <c r="J2" s="367"/>
      <c r="K2" s="367"/>
      <c r="L2" s="367"/>
      <c r="M2" s="367"/>
      <c r="N2" s="367"/>
      <c r="O2" s="367"/>
      <c r="P2" s="120"/>
      <c r="Q2" s="7"/>
      <c r="R2" s="12"/>
      <c r="S2" s="7"/>
      <c r="T2" s="7"/>
      <c r="U2" s="7"/>
      <c r="V2" s="120"/>
    </row>
    <row r="3" spans="1:33" ht="21" customHeight="1" x14ac:dyDescent="0.4">
      <c r="A3" s="358" t="s">
        <v>446</v>
      </c>
      <c r="B3" s="368" t="s">
        <v>39</v>
      </c>
      <c r="C3" s="369"/>
      <c r="D3" s="369"/>
      <c r="E3" s="369"/>
      <c r="F3" s="369"/>
      <c r="G3" s="369"/>
      <c r="H3" s="369"/>
      <c r="I3" s="369"/>
      <c r="J3" s="369"/>
      <c r="K3" s="369"/>
      <c r="L3" s="369"/>
      <c r="M3" s="369"/>
      <c r="N3" s="369"/>
      <c r="O3" s="369"/>
      <c r="P3" s="120"/>
      <c r="Q3" s="7"/>
      <c r="R3" s="13" t="s">
        <v>40</v>
      </c>
      <c r="S3" s="7"/>
      <c r="T3" s="7"/>
      <c r="U3" s="7"/>
      <c r="V3" s="120"/>
    </row>
    <row r="4" spans="1:33" ht="21" customHeight="1" x14ac:dyDescent="0.4">
      <c r="A4" s="358"/>
      <c r="B4" s="31"/>
      <c r="C4" s="151"/>
      <c r="D4" s="152" t="s">
        <v>76</v>
      </c>
      <c r="E4" s="370"/>
      <c r="F4" s="370"/>
      <c r="G4" s="370"/>
      <c r="H4" s="148"/>
      <c r="I4" s="148"/>
      <c r="J4" s="33" t="s">
        <v>77</v>
      </c>
      <c r="K4" s="143"/>
      <c r="L4" s="370"/>
      <c r="M4" s="370"/>
      <c r="N4" s="120"/>
      <c r="O4" s="33" t="s">
        <v>440</v>
      </c>
      <c r="P4" s="253"/>
      <c r="Q4" s="7"/>
      <c r="R4" s="13"/>
      <c r="S4" s="7"/>
      <c r="T4" s="7"/>
      <c r="U4" s="7"/>
      <c r="V4" s="120"/>
    </row>
    <row r="5" spans="1:33" s="122" customFormat="1" ht="21" customHeight="1" thickBot="1" x14ac:dyDescent="0.25">
      <c r="A5" s="359"/>
      <c r="B5" s="30"/>
      <c r="C5" s="150"/>
      <c r="D5" s="32" t="s">
        <v>79</v>
      </c>
      <c r="E5" s="104" t="s">
        <v>436</v>
      </c>
      <c r="F5" s="153"/>
      <c r="G5" s="153"/>
      <c r="H5" s="149"/>
      <c r="I5" s="149"/>
      <c r="J5" s="32" t="s">
        <v>78</v>
      </c>
      <c r="K5" s="104" t="s">
        <v>437</v>
      </c>
      <c r="L5" s="254"/>
      <c r="M5" s="153"/>
      <c r="N5" s="153"/>
      <c r="O5" s="153"/>
      <c r="P5" s="153"/>
      <c r="Q5" s="252"/>
      <c r="R5" s="110" t="s">
        <v>296</v>
      </c>
      <c r="S5" s="8"/>
      <c r="T5" s="8"/>
      <c r="U5" s="8"/>
      <c r="V5" s="121"/>
    </row>
    <row r="6" spans="1:33" ht="3.95" customHeight="1" thickBot="1" x14ac:dyDescent="0.25">
      <c r="A6" s="156"/>
      <c r="B6" s="157"/>
      <c r="C6" s="4"/>
      <c r="D6" s="4"/>
      <c r="E6" s="4"/>
      <c r="F6" s="4"/>
      <c r="G6" s="4"/>
      <c r="H6" s="4"/>
      <c r="I6" s="4"/>
      <c r="J6" s="4"/>
      <c r="K6" s="120"/>
      <c r="L6" s="120"/>
      <c r="M6" s="120"/>
      <c r="N6" s="120"/>
      <c r="O6" s="120"/>
      <c r="P6" s="120"/>
      <c r="Q6" s="255"/>
      <c r="R6" s="154"/>
    </row>
    <row r="7" spans="1:33" x14ac:dyDescent="0.2">
      <c r="A7" s="360" t="s">
        <v>392</v>
      </c>
      <c r="B7" s="361"/>
      <c r="C7" s="124">
        <v>1</v>
      </c>
      <c r="D7" s="124">
        <v>2</v>
      </c>
      <c r="E7" s="124">
        <v>3</v>
      </c>
      <c r="F7" s="124">
        <v>4</v>
      </c>
      <c r="G7" s="124">
        <v>5</v>
      </c>
      <c r="H7" s="124">
        <v>6</v>
      </c>
      <c r="I7" s="124">
        <v>7</v>
      </c>
      <c r="J7" s="124">
        <v>8</v>
      </c>
      <c r="K7" s="124">
        <v>9</v>
      </c>
      <c r="L7" s="124">
        <v>10</v>
      </c>
      <c r="M7" s="124">
        <v>11</v>
      </c>
      <c r="N7" s="124">
        <v>12</v>
      </c>
      <c r="O7" s="124">
        <v>13</v>
      </c>
      <c r="P7" s="201">
        <v>14</v>
      </c>
      <c r="Q7" s="124">
        <v>15</v>
      </c>
      <c r="R7" s="155">
        <v>16</v>
      </c>
    </row>
    <row r="8" spans="1:33" s="125" customFormat="1" ht="51" customHeight="1" x14ac:dyDescent="0.2">
      <c r="A8" s="362" t="s">
        <v>259</v>
      </c>
      <c r="B8" s="363"/>
      <c r="C8" s="185"/>
      <c r="D8" s="185"/>
      <c r="E8" s="185"/>
      <c r="F8" s="185"/>
      <c r="G8" s="185"/>
      <c r="H8" s="185"/>
      <c r="I8" s="185"/>
      <c r="J8" s="185"/>
      <c r="K8" s="185"/>
      <c r="L8" s="185"/>
      <c r="M8" s="185"/>
      <c r="N8" s="185"/>
      <c r="O8" s="185"/>
      <c r="P8" s="202"/>
      <c r="Q8" s="185"/>
      <c r="R8" s="249"/>
    </row>
    <row r="9" spans="1:33" s="126" customFormat="1" ht="25.5" customHeight="1" x14ac:dyDescent="0.2">
      <c r="A9" s="362" t="s">
        <v>341</v>
      </c>
      <c r="B9" s="363"/>
      <c r="C9" s="186"/>
      <c r="D9" s="186"/>
      <c r="E9" s="186"/>
      <c r="F9" s="186"/>
      <c r="G9" s="186"/>
      <c r="H9" s="186"/>
      <c r="I9" s="186"/>
      <c r="J9" s="186"/>
      <c r="K9" s="186"/>
      <c r="L9" s="186"/>
      <c r="M9" s="186"/>
      <c r="N9" s="186"/>
      <c r="O9" s="186"/>
      <c r="P9" s="203"/>
      <c r="Q9" s="186"/>
      <c r="R9" s="250"/>
    </row>
    <row r="10" spans="1:33" ht="17.45" customHeight="1" x14ac:dyDescent="0.2">
      <c r="A10" s="346" t="s">
        <v>190</v>
      </c>
      <c r="B10" s="347"/>
      <c r="C10" s="187"/>
      <c r="D10" s="187"/>
      <c r="E10" s="187"/>
      <c r="F10" s="187"/>
      <c r="G10" s="187"/>
      <c r="H10" s="187"/>
      <c r="I10" s="187"/>
      <c r="J10" s="187"/>
      <c r="K10" s="187"/>
      <c r="L10" s="187"/>
      <c r="M10" s="187"/>
      <c r="N10" s="187"/>
      <c r="O10" s="187"/>
      <c r="P10" s="204"/>
      <c r="Q10" s="187"/>
      <c r="R10" s="227"/>
    </row>
    <row r="11" spans="1:33" ht="17.45" customHeight="1" x14ac:dyDescent="0.2">
      <c r="A11" s="373" t="s">
        <v>105</v>
      </c>
      <c r="B11" s="374"/>
      <c r="C11" s="270"/>
      <c r="D11" s="270"/>
      <c r="E11" s="188"/>
      <c r="F11" s="188"/>
      <c r="G11" s="188"/>
      <c r="H11" s="188"/>
      <c r="I11" s="188"/>
      <c r="J11" s="270"/>
      <c r="K11" s="270"/>
      <c r="L11" s="270"/>
      <c r="M11" s="270"/>
      <c r="N11" s="270"/>
      <c r="O11" s="270"/>
      <c r="P11" s="271"/>
      <c r="Q11" s="270"/>
      <c r="R11" s="272"/>
    </row>
    <row r="12" spans="1:33" ht="17.45" customHeight="1" x14ac:dyDescent="0.2">
      <c r="A12" s="373" t="s">
        <v>156</v>
      </c>
      <c r="B12" s="374"/>
      <c r="C12" s="188"/>
      <c r="D12" s="270"/>
      <c r="E12" s="188"/>
      <c r="F12" s="188"/>
      <c r="G12" s="188"/>
      <c r="H12" s="188"/>
      <c r="I12" s="188"/>
      <c r="J12" s="270"/>
      <c r="K12" s="270"/>
      <c r="L12" s="270"/>
      <c r="M12" s="270"/>
      <c r="N12" s="270"/>
      <c r="O12" s="270"/>
      <c r="P12" s="271"/>
      <c r="Q12" s="270"/>
      <c r="R12" s="272"/>
    </row>
    <row r="13" spans="1:33" ht="17.45" customHeight="1" x14ac:dyDescent="0.2">
      <c r="A13" s="350" t="s">
        <v>1</v>
      </c>
      <c r="B13" s="351"/>
      <c r="C13" s="189"/>
      <c r="D13" s="189"/>
      <c r="E13" s="189"/>
      <c r="F13" s="189"/>
      <c r="G13" s="189"/>
      <c r="H13" s="189"/>
      <c r="I13" s="189"/>
      <c r="J13" s="189"/>
      <c r="K13" s="189"/>
      <c r="L13" s="189"/>
      <c r="M13" s="189"/>
      <c r="N13" s="190"/>
      <c r="O13" s="190"/>
      <c r="P13" s="205"/>
      <c r="Q13" s="189"/>
      <c r="R13" s="244"/>
    </row>
    <row r="14" spans="1:33" ht="17.45" customHeight="1" x14ac:dyDescent="0.2">
      <c r="A14" s="350" t="s">
        <v>3</v>
      </c>
      <c r="B14" s="351"/>
      <c r="C14" s="189"/>
      <c r="D14" s="189"/>
      <c r="E14" s="189"/>
      <c r="F14" s="189"/>
      <c r="G14" s="189"/>
      <c r="H14" s="189"/>
      <c r="I14" s="189"/>
      <c r="J14" s="189"/>
      <c r="K14" s="189"/>
      <c r="L14" s="189"/>
      <c r="M14" s="189"/>
      <c r="N14" s="190"/>
      <c r="O14" s="190"/>
      <c r="P14" s="205"/>
      <c r="Q14" s="189"/>
      <c r="R14" s="244"/>
    </row>
    <row r="15" spans="1:33" ht="17.45" customHeight="1" x14ac:dyDescent="0.2">
      <c r="A15" s="350" t="s">
        <v>7</v>
      </c>
      <c r="B15" s="351"/>
      <c r="C15" s="189"/>
      <c r="D15" s="189"/>
      <c r="E15" s="189"/>
      <c r="F15" s="189"/>
      <c r="G15" s="189"/>
      <c r="H15" s="189"/>
      <c r="I15" s="189"/>
      <c r="J15" s="189"/>
      <c r="K15" s="189"/>
      <c r="L15" s="189"/>
      <c r="M15" s="189"/>
      <c r="N15" s="190"/>
      <c r="O15" s="190"/>
      <c r="P15" s="205"/>
      <c r="Q15" s="189"/>
      <c r="R15" s="244"/>
    </row>
    <row r="16" spans="1:33" ht="17.45" customHeight="1" x14ac:dyDescent="0.2">
      <c r="A16" s="350" t="s">
        <v>2</v>
      </c>
      <c r="B16" s="351"/>
      <c r="C16" s="189"/>
      <c r="D16" s="191"/>
      <c r="E16" s="189"/>
      <c r="F16" s="189"/>
      <c r="G16" s="189"/>
      <c r="H16" s="189"/>
      <c r="I16" s="191"/>
      <c r="J16" s="189"/>
      <c r="K16" s="189"/>
      <c r="L16" s="192"/>
      <c r="M16" s="192"/>
      <c r="N16" s="193"/>
      <c r="O16" s="105"/>
      <c r="P16" s="206"/>
      <c r="Q16" s="189"/>
      <c r="R16" s="244"/>
    </row>
    <row r="17" spans="1:18" ht="17.45" customHeight="1" x14ac:dyDescent="0.2">
      <c r="A17" s="342" t="s">
        <v>196</v>
      </c>
      <c r="B17" s="343"/>
      <c r="C17" s="105"/>
      <c r="D17" s="105"/>
      <c r="E17" s="105"/>
      <c r="F17" s="105"/>
      <c r="G17" s="105"/>
      <c r="H17" s="105"/>
      <c r="I17" s="105"/>
      <c r="J17" s="105"/>
      <c r="K17" s="105"/>
      <c r="L17" s="105"/>
      <c r="M17" s="105"/>
      <c r="N17" s="105"/>
      <c r="O17" s="105"/>
      <c r="P17" s="207"/>
      <c r="Q17" s="105"/>
      <c r="R17" s="251"/>
    </row>
    <row r="18" spans="1:18" s="130" customFormat="1" ht="17.45" customHeight="1" x14ac:dyDescent="0.2">
      <c r="A18" s="378" t="s">
        <v>8</v>
      </c>
      <c r="B18" s="379"/>
      <c r="C18" s="129">
        <f t="shared" ref="C18:P18" si="0">8.345*C17</f>
        <v>0</v>
      </c>
      <c r="D18" s="129">
        <f t="shared" si="0"/>
        <v>0</v>
      </c>
      <c r="E18" s="129">
        <f t="shared" si="0"/>
        <v>0</v>
      </c>
      <c r="F18" s="129">
        <f t="shared" si="0"/>
        <v>0</v>
      </c>
      <c r="G18" s="129">
        <f t="shared" si="0"/>
        <v>0</v>
      </c>
      <c r="H18" s="129">
        <f t="shared" si="0"/>
        <v>0</v>
      </c>
      <c r="I18" s="129">
        <f t="shared" si="0"/>
        <v>0</v>
      </c>
      <c r="J18" s="129">
        <f t="shared" si="0"/>
        <v>0</v>
      </c>
      <c r="K18" s="129">
        <f t="shared" si="0"/>
        <v>0</v>
      </c>
      <c r="L18" s="129">
        <f t="shared" si="0"/>
        <v>0</v>
      </c>
      <c r="M18" s="129">
        <f t="shared" si="0"/>
        <v>0</v>
      </c>
      <c r="N18" s="129">
        <f t="shared" si="0"/>
        <v>0</v>
      </c>
      <c r="O18" s="129">
        <f t="shared" si="0"/>
        <v>0</v>
      </c>
      <c r="P18" s="208">
        <f t="shared" si="0"/>
        <v>0</v>
      </c>
      <c r="Q18" s="129">
        <f>8.345*Q17</f>
        <v>0</v>
      </c>
      <c r="R18" s="228">
        <f>8.345*R17</f>
        <v>0</v>
      </c>
    </row>
    <row r="19" spans="1:18" s="130" customFormat="1" ht="17.45" customHeight="1" x14ac:dyDescent="0.2">
      <c r="A19" s="388" t="s">
        <v>311</v>
      </c>
      <c r="B19" s="389"/>
      <c r="C19" s="127"/>
      <c r="D19" s="127"/>
      <c r="E19" s="127"/>
      <c r="F19" s="127"/>
      <c r="G19" s="127"/>
      <c r="H19" s="127"/>
      <c r="I19" s="127"/>
      <c r="J19" s="127"/>
      <c r="K19" s="127"/>
      <c r="L19" s="127"/>
      <c r="M19" s="127"/>
      <c r="N19" s="127"/>
      <c r="O19" s="127"/>
      <c r="P19" s="209"/>
      <c r="Q19" s="127"/>
      <c r="R19" s="229"/>
    </row>
    <row r="20" spans="1:18" s="131" customFormat="1" ht="17.45" customHeight="1" x14ac:dyDescent="0.2">
      <c r="A20" s="375" t="s">
        <v>111</v>
      </c>
      <c r="B20" s="376"/>
      <c r="C20" s="115"/>
      <c r="D20" s="115"/>
      <c r="E20" s="115"/>
      <c r="F20" s="115"/>
      <c r="G20" s="115"/>
      <c r="H20" s="115"/>
      <c r="I20" s="115"/>
      <c r="J20" s="115"/>
      <c r="K20" s="115"/>
      <c r="L20" s="115"/>
      <c r="M20" s="115"/>
      <c r="N20" s="115"/>
      <c r="O20" s="115"/>
      <c r="P20" s="196"/>
      <c r="Q20" s="115"/>
      <c r="R20" s="195"/>
    </row>
    <row r="21" spans="1:18" s="131" customFormat="1" ht="17.45" customHeight="1" x14ac:dyDescent="0.2">
      <c r="A21" s="375" t="s">
        <v>112</v>
      </c>
      <c r="B21" s="376"/>
      <c r="C21" s="115"/>
      <c r="D21" s="115"/>
      <c r="E21" s="115"/>
      <c r="F21" s="115"/>
      <c r="G21" s="115"/>
      <c r="H21" s="115"/>
      <c r="I21" s="115"/>
      <c r="J21" s="115"/>
      <c r="K21" s="115"/>
      <c r="L21" s="196"/>
      <c r="M21" s="196"/>
      <c r="N21" s="197"/>
      <c r="O21" s="115"/>
      <c r="P21" s="210"/>
      <c r="Q21" s="115"/>
      <c r="R21" s="198"/>
    </row>
    <row r="22" spans="1:18" s="131" customFormat="1" ht="17.45" customHeight="1" x14ac:dyDescent="0.2">
      <c r="A22" s="384" t="s">
        <v>307</v>
      </c>
      <c r="B22" s="385"/>
      <c r="C22" s="116"/>
      <c r="D22" s="116"/>
      <c r="E22" s="116"/>
      <c r="F22" s="116"/>
      <c r="G22" s="116"/>
      <c r="H22" s="116"/>
      <c r="I22" s="116"/>
      <c r="J22" s="116"/>
      <c r="K22" s="116"/>
      <c r="L22" s="116"/>
      <c r="M22" s="116"/>
      <c r="N22" s="116"/>
      <c r="O22" s="116"/>
      <c r="P22" s="211"/>
      <c r="Q22" s="116"/>
      <c r="R22" s="230"/>
    </row>
    <row r="23" spans="1:18" s="131" customFormat="1" ht="17.45" customHeight="1" x14ac:dyDescent="0.2">
      <c r="A23" s="384" t="s">
        <v>308</v>
      </c>
      <c r="B23" s="385"/>
      <c r="C23" s="106"/>
      <c r="D23" s="106"/>
      <c r="E23" s="106"/>
      <c r="F23" s="106"/>
      <c r="G23" s="106"/>
      <c r="H23" s="106"/>
      <c r="I23" s="106"/>
      <c r="J23" s="106"/>
      <c r="K23" s="106"/>
      <c r="L23" s="106"/>
      <c r="M23" s="106"/>
      <c r="N23" s="106"/>
      <c r="O23" s="106"/>
      <c r="P23" s="212"/>
      <c r="Q23" s="106"/>
      <c r="R23" s="231"/>
    </row>
    <row r="24" spans="1:18" s="131" customFormat="1" ht="17.45" customHeight="1" x14ac:dyDescent="0.2">
      <c r="A24" s="384" t="s">
        <v>308</v>
      </c>
      <c r="B24" s="385"/>
      <c r="C24" s="106"/>
      <c r="D24" s="106"/>
      <c r="E24" s="106"/>
      <c r="F24" s="106"/>
      <c r="G24" s="106"/>
      <c r="H24" s="106"/>
      <c r="I24" s="106"/>
      <c r="J24" s="106"/>
      <c r="K24" s="106"/>
      <c r="L24" s="106"/>
      <c r="M24" s="106"/>
      <c r="N24" s="106"/>
      <c r="O24" s="106"/>
      <c r="P24" s="212"/>
      <c r="Q24" s="106"/>
      <c r="R24" s="231"/>
    </row>
    <row r="25" spans="1:18" s="131" customFormat="1" ht="17.45" customHeight="1" x14ac:dyDescent="0.2">
      <c r="A25" s="146"/>
      <c r="B25" s="147" t="s">
        <v>309</v>
      </c>
      <c r="C25" s="117">
        <f>SUM(C20:C24)</f>
        <v>0</v>
      </c>
      <c r="D25" s="117">
        <f t="shared" ref="D25:P25" si="1">SUM(D20:D24)</f>
        <v>0</v>
      </c>
      <c r="E25" s="117">
        <f t="shared" si="1"/>
        <v>0</v>
      </c>
      <c r="F25" s="117">
        <f t="shared" si="1"/>
        <v>0</v>
      </c>
      <c r="G25" s="117">
        <f t="shared" si="1"/>
        <v>0</v>
      </c>
      <c r="H25" s="117">
        <f t="shared" si="1"/>
        <v>0</v>
      </c>
      <c r="I25" s="117">
        <f t="shared" si="1"/>
        <v>0</v>
      </c>
      <c r="J25" s="117">
        <f t="shared" si="1"/>
        <v>0</v>
      </c>
      <c r="K25" s="117">
        <f t="shared" si="1"/>
        <v>0</v>
      </c>
      <c r="L25" s="117">
        <f t="shared" si="1"/>
        <v>0</v>
      </c>
      <c r="M25" s="117">
        <f t="shared" si="1"/>
        <v>0</v>
      </c>
      <c r="N25" s="117">
        <f t="shared" si="1"/>
        <v>0</v>
      </c>
      <c r="O25" s="117">
        <f t="shared" si="1"/>
        <v>0</v>
      </c>
      <c r="P25" s="213">
        <f t="shared" si="1"/>
        <v>0</v>
      </c>
      <c r="Q25" s="117">
        <f>SUM(Q20:Q24)</f>
        <v>0</v>
      </c>
      <c r="R25" s="232">
        <f>SUM(R20:R24)</f>
        <v>0</v>
      </c>
    </row>
    <row r="26" spans="1:18" s="131" customFormat="1" ht="17.45" customHeight="1" x14ac:dyDescent="0.2">
      <c r="A26" s="384" t="s">
        <v>310</v>
      </c>
      <c r="B26" s="385"/>
      <c r="C26" s="116"/>
      <c r="D26" s="116"/>
      <c r="E26" s="116"/>
      <c r="F26" s="116"/>
      <c r="G26" s="116"/>
      <c r="H26" s="116"/>
      <c r="I26" s="116"/>
      <c r="J26" s="116"/>
      <c r="K26" s="116"/>
      <c r="L26" s="116"/>
      <c r="M26" s="116"/>
      <c r="N26" s="116"/>
      <c r="O26" s="116"/>
      <c r="P26" s="211"/>
      <c r="Q26" s="116"/>
      <c r="R26" s="230"/>
    </row>
    <row r="27" spans="1:18" s="131" customFormat="1" ht="17.45" customHeight="1" x14ac:dyDescent="0.2">
      <c r="A27" s="384" t="s">
        <v>308</v>
      </c>
      <c r="B27" s="385"/>
      <c r="C27" s="106"/>
      <c r="D27" s="106"/>
      <c r="E27" s="106"/>
      <c r="F27" s="106"/>
      <c r="G27" s="106"/>
      <c r="H27" s="106"/>
      <c r="I27" s="106"/>
      <c r="J27" s="106"/>
      <c r="K27" s="106"/>
      <c r="L27" s="106"/>
      <c r="M27" s="106"/>
      <c r="N27" s="106"/>
      <c r="O27" s="106"/>
      <c r="P27" s="212"/>
      <c r="Q27" s="106"/>
      <c r="R27" s="231"/>
    </row>
    <row r="28" spans="1:18" s="131" customFormat="1" ht="17.45" customHeight="1" x14ac:dyDescent="0.2">
      <c r="A28" s="384" t="s">
        <v>308</v>
      </c>
      <c r="B28" s="385"/>
      <c r="C28" s="106"/>
      <c r="D28" s="106"/>
      <c r="E28" s="106"/>
      <c r="F28" s="106"/>
      <c r="G28" s="106"/>
      <c r="H28" s="106"/>
      <c r="I28" s="106"/>
      <c r="J28" s="106"/>
      <c r="K28" s="106"/>
      <c r="L28" s="106"/>
      <c r="M28" s="106"/>
      <c r="N28" s="106"/>
      <c r="O28" s="106"/>
      <c r="P28" s="212"/>
      <c r="Q28" s="106"/>
      <c r="R28" s="231"/>
    </row>
    <row r="29" spans="1:18" s="131" customFormat="1" ht="17.45" customHeight="1" x14ac:dyDescent="0.2">
      <c r="A29" s="378" t="s">
        <v>394</v>
      </c>
      <c r="B29" s="379"/>
      <c r="C29" s="117">
        <f>SUM(C25:C28)</f>
        <v>0</v>
      </c>
      <c r="D29" s="117">
        <f t="shared" ref="D29:P29" si="2">SUM(D25:D28)</f>
        <v>0</v>
      </c>
      <c r="E29" s="117">
        <f t="shared" si="2"/>
        <v>0</v>
      </c>
      <c r="F29" s="117">
        <f t="shared" si="2"/>
        <v>0</v>
      </c>
      <c r="G29" s="117">
        <f t="shared" si="2"/>
        <v>0</v>
      </c>
      <c r="H29" s="117">
        <f t="shared" si="2"/>
        <v>0</v>
      </c>
      <c r="I29" s="117">
        <f t="shared" si="2"/>
        <v>0</v>
      </c>
      <c r="J29" s="117">
        <f t="shared" si="2"/>
        <v>0</v>
      </c>
      <c r="K29" s="117">
        <f t="shared" si="2"/>
        <v>0</v>
      </c>
      <c r="L29" s="117">
        <f t="shared" si="2"/>
        <v>0</v>
      </c>
      <c r="M29" s="117">
        <f t="shared" si="2"/>
        <v>0</v>
      </c>
      <c r="N29" s="117">
        <f t="shared" si="2"/>
        <v>0</v>
      </c>
      <c r="O29" s="117">
        <f t="shared" si="2"/>
        <v>0</v>
      </c>
      <c r="P29" s="213">
        <f t="shared" si="2"/>
        <v>0</v>
      </c>
      <c r="Q29" s="117">
        <f>SUM(Q25:Q28)</f>
        <v>0</v>
      </c>
      <c r="R29" s="232">
        <f>SUM(R25:R28)</f>
        <v>0</v>
      </c>
    </row>
    <row r="30" spans="1:18" s="131" customFormat="1" ht="17.45" customHeight="1" x14ac:dyDescent="0.2">
      <c r="A30" s="390" t="s">
        <v>314</v>
      </c>
      <c r="B30" s="391"/>
      <c r="C30" s="116"/>
      <c r="D30" s="116"/>
      <c r="E30" s="116"/>
      <c r="F30" s="116"/>
      <c r="G30" s="116"/>
      <c r="H30" s="116"/>
      <c r="I30" s="116"/>
      <c r="J30" s="116"/>
      <c r="K30" s="116"/>
      <c r="L30" s="116"/>
      <c r="M30" s="116"/>
      <c r="N30" s="116"/>
      <c r="O30" s="116"/>
      <c r="P30" s="211"/>
      <c r="Q30" s="116"/>
      <c r="R30" s="230"/>
    </row>
    <row r="31" spans="1:18" s="131" customFormat="1" ht="17.45" customHeight="1" x14ac:dyDescent="0.2">
      <c r="A31" s="384" t="s">
        <v>307</v>
      </c>
      <c r="B31" s="385"/>
      <c r="C31" s="116"/>
      <c r="D31" s="116"/>
      <c r="E31" s="116"/>
      <c r="F31" s="116"/>
      <c r="G31" s="116"/>
      <c r="H31" s="116"/>
      <c r="I31" s="116"/>
      <c r="J31" s="116"/>
      <c r="K31" s="116"/>
      <c r="L31" s="116"/>
      <c r="M31" s="116"/>
      <c r="N31" s="116"/>
      <c r="O31" s="116"/>
      <c r="P31" s="211"/>
      <c r="Q31" s="116"/>
      <c r="R31" s="230"/>
    </row>
    <row r="32" spans="1:18" s="131" customFormat="1" ht="17.45" customHeight="1" x14ac:dyDescent="0.2">
      <c r="A32" s="384" t="s">
        <v>308</v>
      </c>
      <c r="B32" s="385"/>
      <c r="C32" s="106"/>
      <c r="D32" s="106"/>
      <c r="E32" s="106"/>
      <c r="F32" s="106"/>
      <c r="G32" s="106"/>
      <c r="H32" s="106"/>
      <c r="I32" s="106"/>
      <c r="J32" s="106"/>
      <c r="K32" s="106"/>
      <c r="L32" s="106"/>
      <c r="M32" s="106"/>
      <c r="N32" s="106"/>
      <c r="O32" s="106"/>
      <c r="P32" s="212"/>
      <c r="Q32" s="106"/>
      <c r="R32" s="231"/>
    </row>
    <row r="33" spans="1:18" s="131" customFormat="1" ht="17.45" customHeight="1" x14ac:dyDescent="0.2">
      <c r="A33" s="384" t="s">
        <v>308</v>
      </c>
      <c r="B33" s="385"/>
      <c r="C33" s="106"/>
      <c r="D33" s="106"/>
      <c r="E33" s="106"/>
      <c r="F33" s="106"/>
      <c r="G33" s="106"/>
      <c r="H33" s="106"/>
      <c r="I33" s="106"/>
      <c r="J33" s="106"/>
      <c r="K33" s="106"/>
      <c r="L33" s="106"/>
      <c r="M33" s="106"/>
      <c r="N33" s="106"/>
      <c r="O33" s="106"/>
      <c r="P33" s="212"/>
      <c r="Q33" s="106"/>
      <c r="R33" s="231"/>
    </row>
    <row r="34" spans="1:18" s="131" customFormat="1" ht="17.45" customHeight="1" x14ac:dyDescent="0.2">
      <c r="A34" s="384" t="s">
        <v>310</v>
      </c>
      <c r="B34" s="385"/>
      <c r="C34" s="116"/>
      <c r="D34" s="116"/>
      <c r="E34" s="116"/>
      <c r="F34" s="116"/>
      <c r="G34" s="116"/>
      <c r="H34" s="116"/>
      <c r="I34" s="116"/>
      <c r="J34" s="116"/>
      <c r="K34" s="116"/>
      <c r="L34" s="116"/>
      <c r="M34" s="116"/>
      <c r="N34" s="116"/>
      <c r="O34" s="116"/>
      <c r="P34" s="211"/>
      <c r="Q34" s="116"/>
      <c r="R34" s="230"/>
    </row>
    <row r="35" spans="1:18" s="131" customFormat="1" ht="17.45" customHeight="1" x14ac:dyDescent="0.2">
      <c r="A35" s="384" t="s">
        <v>308</v>
      </c>
      <c r="B35" s="385"/>
      <c r="C35" s="106"/>
      <c r="D35" s="106"/>
      <c r="E35" s="106"/>
      <c r="F35" s="106"/>
      <c r="G35" s="106"/>
      <c r="H35" s="106"/>
      <c r="I35" s="106"/>
      <c r="J35" s="106"/>
      <c r="K35" s="106"/>
      <c r="L35" s="106"/>
      <c r="M35" s="106"/>
      <c r="N35" s="106"/>
      <c r="O35" s="106"/>
      <c r="P35" s="212"/>
      <c r="Q35" s="106"/>
      <c r="R35" s="231"/>
    </row>
    <row r="36" spans="1:18" s="131" customFormat="1" ht="17.45" customHeight="1" x14ac:dyDescent="0.2">
      <c r="A36" s="384" t="s">
        <v>308</v>
      </c>
      <c r="B36" s="385"/>
      <c r="C36" s="106"/>
      <c r="D36" s="106"/>
      <c r="E36" s="106"/>
      <c r="F36" s="106"/>
      <c r="G36" s="106"/>
      <c r="H36" s="106"/>
      <c r="I36" s="106"/>
      <c r="J36" s="106"/>
      <c r="K36" s="106"/>
      <c r="L36" s="106"/>
      <c r="M36" s="106"/>
      <c r="N36" s="106"/>
      <c r="O36" s="106"/>
      <c r="P36" s="212"/>
      <c r="Q36" s="106"/>
      <c r="R36" s="231"/>
    </row>
    <row r="37" spans="1:18" s="131" customFormat="1" ht="17.45" customHeight="1" x14ac:dyDescent="0.2">
      <c r="A37" s="146"/>
      <c r="B37" s="147" t="s">
        <v>315</v>
      </c>
      <c r="C37" s="117">
        <f>SUM(C32:C36)</f>
        <v>0</v>
      </c>
      <c r="D37" s="117">
        <f t="shared" ref="D37:P37" si="3">SUM(D32:D36)</f>
        <v>0</v>
      </c>
      <c r="E37" s="117">
        <f t="shared" si="3"/>
        <v>0</v>
      </c>
      <c r="F37" s="117">
        <f t="shared" si="3"/>
        <v>0</v>
      </c>
      <c r="G37" s="117">
        <f t="shared" si="3"/>
        <v>0</v>
      </c>
      <c r="H37" s="117">
        <f t="shared" si="3"/>
        <v>0</v>
      </c>
      <c r="I37" s="117">
        <f t="shared" si="3"/>
        <v>0</v>
      </c>
      <c r="J37" s="117">
        <f t="shared" si="3"/>
        <v>0</v>
      </c>
      <c r="K37" s="117">
        <f t="shared" si="3"/>
        <v>0</v>
      </c>
      <c r="L37" s="117">
        <f t="shared" si="3"/>
        <v>0</v>
      </c>
      <c r="M37" s="117">
        <f t="shared" si="3"/>
        <v>0</v>
      </c>
      <c r="N37" s="117">
        <f t="shared" si="3"/>
        <v>0</v>
      </c>
      <c r="O37" s="117">
        <f t="shared" si="3"/>
        <v>0</v>
      </c>
      <c r="P37" s="213">
        <f t="shared" si="3"/>
        <v>0</v>
      </c>
      <c r="Q37" s="117">
        <f>SUM(Q32:Q36)</f>
        <v>0</v>
      </c>
      <c r="R37" s="232">
        <f>SUM(R32:R36)</f>
        <v>0</v>
      </c>
    </row>
    <row r="38" spans="1:18" s="131" customFormat="1" ht="17.45" customHeight="1" x14ac:dyDescent="0.2">
      <c r="A38" s="382" t="s">
        <v>200</v>
      </c>
      <c r="B38" s="383"/>
      <c r="C38" s="117">
        <f t="shared" ref="C38:P38" si="4">C29+C37</f>
        <v>0</v>
      </c>
      <c r="D38" s="117">
        <f t="shared" si="4"/>
        <v>0</v>
      </c>
      <c r="E38" s="117">
        <f t="shared" si="4"/>
        <v>0</v>
      </c>
      <c r="F38" s="117">
        <f t="shared" si="4"/>
        <v>0</v>
      </c>
      <c r="G38" s="117">
        <f t="shared" si="4"/>
        <v>0</v>
      </c>
      <c r="H38" s="117">
        <f t="shared" si="4"/>
        <v>0</v>
      </c>
      <c r="I38" s="117">
        <f t="shared" si="4"/>
        <v>0</v>
      </c>
      <c r="J38" s="117">
        <f t="shared" si="4"/>
        <v>0</v>
      </c>
      <c r="K38" s="117">
        <f t="shared" si="4"/>
        <v>0</v>
      </c>
      <c r="L38" s="117">
        <f t="shared" si="4"/>
        <v>0</v>
      </c>
      <c r="M38" s="117">
        <f t="shared" si="4"/>
        <v>0</v>
      </c>
      <c r="N38" s="117">
        <f t="shared" si="4"/>
        <v>0</v>
      </c>
      <c r="O38" s="117">
        <f t="shared" si="4"/>
        <v>0</v>
      </c>
      <c r="P38" s="213">
        <f t="shared" si="4"/>
        <v>0</v>
      </c>
      <c r="Q38" s="117">
        <f>Q29+Q37</f>
        <v>0</v>
      </c>
      <c r="R38" s="232">
        <f>R29+R37</f>
        <v>0</v>
      </c>
    </row>
    <row r="39" spans="1:18" s="131" customFormat="1" ht="17.45" customHeight="1" x14ac:dyDescent="0.2">
      <c r="A39" s="384" t="s">
        <v>312</v>
      </c>
      <c r="B39" s="385"/>
      <c r="C39" s="116"/>
      <c r="D39" s="116"/>
      <c r="E39" s="116"/>
      <c r="F39" s="116"/>
      <c r="G39" s="116"/>
      <c r="H39" s="116"/>
      <c r="I39" s="116"/>
      <c r="J39" s="116"/>
      <c r="K39" s="116"/>
      <c r="L39" s="116"/>
      <c r="M39" s="116"/>
      <c r="N39" s="116"/>
      <c r="O39" s="116"/>
      <c r="P39" s="211"/>
      <c r="Q39" s="116"/>
      <c r="R39" s="230"/>
    </row>
    <row r="40" spans="1:18" s="131" customFormat="1" ht="17.45" customHeight="1" x14ac:dyDescent="0.2">
      <c r="A40" s="384" t="s">
        <v>308</v>
      </c>
      <c r="B40" s="385"/>
      <c r="C40" s="106"/>
      <c r="D40" s="106"/>
      <c r="E40" s="106"/>
      <c r="F40" s="106"/>
      <c r="G40" s="106"/>
      <c r="H40" s="106"/>
      <c r="I40" s="106"/>
      <c r="J40" s="106"/>
      <c r="K40" s="106"/>
      <c r="L40" s="106"/>
      <c r="M40" s="106"/>
      <c r="N40" s="106"/>
      <c r="O40" s="106"/>
      <c r="P40" s="212"/>
      <c r="Q40" s="106"/>
      <c r="R40" s="231"/>
    </row>
    <row r="41" spans="1:18" s="131" customFormat="1" ht="17.45" customHeight="1" x14ac:dyDescent="0.2">
      <c r="A41" s="384" t="s">
        <v>308</v>
      </c>
      <c r="B41" s="385"/>
      <c r="C41" s="106"/>
      <c r="D41" s="106"/>
      <c r="E41" s="106"/>
      <c r="F41" s="106"/>
      <c r="G41" s="106"/>
      <c r="H41" s="106"/>
      <c r="I41" s="106"/>
      <c r="J41" s="106"/>
      <c r="K41" s="106"/>
      <c r="L41" s="106"/>
      <c r="M41" s="106"/>
      <c r="N41" s="106"/>
      <c r="O41" s="106"/>
      <c r="P41" s="212"/>
      <c r="Q41" s="106"/>
      <c r="R41" s="231"/>
    </row>
    <row r="42" spans="1:18" s="131" customFormat="1" ht="17.45" customHeight="1" x14ac:dyDescent="0.2">
      <c r="A42" s="142"/>
      <c r="B42" s="147" t="s">
        <v>316</v>
      </c>
      <c r="C42" s="145">
        <f>C40+C41</f>
        <v>0</v>
      </c>
      <c r="D42" s="145">
        <f t="shared" ref="D42:P42" si="5">D40+D41</f>
        <v>0</v>
      </c>
      <c r="E42" s="145">
        <f t="shared" si="5"/>
        <v>0</v>
      </c>
      <c r="F42" s="145">
        <f t="shared" si="5"/>
        <v>0</v>
      </c>
      <c r="G42" s="145">
        <f t="shared" si="5"/>
        <v>0</v>
      </c>
      <c r="H42" s="145">
        <f t="shared" si="5"/>
        <v>0</v>
      </c>
      <c r="I42" s="145">
        <f t="shared" si="5"/>
        <v>0</v>
      </c>
      <c r="J42" s="145">
        <f t="shared" si="5"/>
        <v>0</v>
      </c>
      <c r="K42" s="145">
        <f t="shared" si="5"/>
        <v>0</v>
      </c>
      <c r="L42" s="145">
        <f t="shared" si="5"/>
        <v>0</v>
      </c>
      <c r="M42" s="145">
        <f t="shared" si="5"/>
        <v>0</v>
      </c>
      <c r="N42" s="145">
        <f t="shared" si="5"/>
        <v>0</v>
      </c>
      <c r="O42" s="145">
        <f t="shared" si="5"/>
        <v>0</v>
      </c>
      <c r="P42" s="214">
        <f t="shared" si="5"/>
        <v>0</v>
      </c>
      <c r="Q42" s="145">
        <f>Q40+Q41</f>
        <v>0</v>
      </c>
      <c r="R42" s="233">
        <f>R40+R41</f>
        <v>0</v>
      </c>
    </row>
    <row r="43" spans="1:18" s="131" customFormat="1" ht="17.45" customHeight="1" x14ac:dyDescent="0.2">
      <c r="A43" s="386" t="s">
        <v>191</v>
      </c>
      <c r="B43" s="387"/>
      <c r="C43" s="118">
        <f>C38+C42</f>
        <v>0</v>
      </c>
      <c r="D43" s="118">
        <f t="shared" ref="D43:P43" si="6">D38+D42</f>
        <v>0</v>
      </c>
      <c r="E43" s="118">
        <f t="shared" si="6"/>
        <v>0</v>
      </c>
      <c r="F43" s="118">
        <f t="shared" si="6"/>
        <v>0</v>
      </c>
      <c r="G43" s="118">
        <f t="shared" si="6"/>
        <v>0</v>
      </c>
      <c r="H43" s="118">
        <f t="shared" si="6"/>
        <v>0</v>
      </c>
      <c r="I43" s="118">
        <f t="shared" si="6"/>
        <v>0</v>
      </c>
      <c r="J43" s="118">
        <f t="shared" si="6"/>
        <v>0</v>
      </c>
      <c r="K43" s="118">
        <f t="shared" si="6"/>
        <v>0</v>
      </c>
      <c r="L43" s="118">
        <f t="shared" si="6"/>
        <v>0</v>
      </c>
      <c r="M43" s="118">
        <f t="shared" si="6"/>
        <v>0</v>
      </c>
      <c r="N43" s="118">
        <f t="shared" si="6"/>
        <v>0</v>
      </c>
      <c r="O43" s="118">
        <f t="shared" si="6"/>
        <v>0</v>
      </c>
      <c r="P43" s="215">
        <f t="shared" si="6"/>
        <v>0</v>
      </c>
      <c r="Q43" s="118">
        <f>Q38+Q42</f>
        <v>0</v>
      </c>
      <c r="R43" s="234">
        <f>R38+R42</f>
        <v>0</v>
      </c>
    </row>
    <row r="44" spans="1:18" ht="17.45" customHeight="1" x14ac:dyDescent="0.2">
      <c r="A44" s="342" t="s">
        <v>10</v>
      </c>
      <c r="B44" s="343"/>
      <c r="C44" s="107"/>
      <c r="D44" s="107"/>
      <c r="E44" s="107"/>
      <c r="F44" s="107"/>
      <c r="G44" s="107"/>
      <c r="H44" s="107"/>
      <c r="I44" s="107"/>
      <c r="J44" s="107"/>
      <c r="K44" s="107"/>
      <c r="L44" s="107"/>
      <c r="M44" s="107"/>
      <c r="N44" s="107"/>
      <c r="O44" s="107"/>
      <c r="P44" s="216"/>
      <c r="Q44" s="107"/>
      <c r="R44" s="235"/>
    </row>
    <row r="45" spans="1:18" ht="17.45" customHeight="1" x14ac:dyDescent="0.2">
      <c r="A45" s="350" t="s">
        <v>6</v>
      </c>
      <c r="B45" s="351"/>
      <c r="C45" s="108"/>
      <c r="D45" s="108"/>
      <c r="E45" s="108"/>
      <c r="F45" s="108"/>
      <c r="G45" s="108"/>
      <c r="H45" s="108"/>
      <c r="I45" s="108"/>
      <c r="J45" s="108"/>
      <c r="K45" s="108"/>
      <c r="L45" s="108"/>
      <c r="M45" s="108"/>
      <c r="N45" s="108"/>
      <c r="O45" s="108"/>
      <c r="P45" s="217"/>
      <c r="Q45" s="108"/>
      <c r="R45" s="236"/>
    </row>
    <row r="46" spans="1:18" ht="17.45" customHeight="1" x14ac:dyDescent="0.2">
      <c r="A46" s="346" t="s">
        <v>20</v>
      </c>
      <c r="B46" s="347"/>
      <c r="C46" s="132"/>
      <c r="D46" s="132"/>
      <c r="E46" s="132"/>
      <c r="F46" s="132"/>
      <c r="G46" s="132"/>
      <c r="H46" s="132"/>
      <c r="I46" s="132"/>
      <c r="J46" s="132"/>
      <c r="K46" s="132"/>
      <c r="L46" s="132"/>
      <c r="M46" s="132"/>
      <c r="N46" s="132"/>
      <c r="O46" s="132"/>
      <c r="P46" s="218"/>
      <c r="Q46" s="132"/>
      <c r="R46" s="237"/>
    </row>
    <row r="47" spans="1:18" ht="17.45" customHeight="1" x14ac:dyDescent="0.2">
      <c r="A47" s="350" t="s">
        <v>21</v>
      </c>
      <c r="B47" s="351"/>
      <c r="C47" s="128"/>
      <c r="D47" s="128"/>
      <c r="E47" s="128"/>
      <c r="F47" s="128"/>
      <c r="G47" s="128"/>
      <c r="H47" s="128"/>
      <c r="I47" s="128"/>
      <c r="J47" s="128"/>
      <c r="K47" s="128"/>
      <c r="L47" s="128"/>
      <c r="M47" s="128"/>
      <c r="N47" s="128"/>
      <c r="O47" s="128"/>
      <c r="P47" s="219"/>
      <c r="Q47" s="128"/>
      <c r="R47" s="238"/>
    </row>
    <row r="48" spans="1:18" ht="17.45" customHeight="1" x14ac:dyDescent="0.2">
      <c r="A48" s="350" t="s">
        <v>22</v>
      </c>
      <c r="B48" s="377"/>
      <c r="C48" s="189"/>
      <c r="D48" s="189"/>
      <c r="E48" s="189"/>
      <c r="F48" s="189"/>
      <c r="G48" s="189"/>
      <c r="H48" s="189"/>
      <c r="I48" s="189"/>
      <c r="J48" s="189"/>
      <c r="K48" s="189"/>
      <c r="L48" s="192"/>
      <c r="M48" s="192"/>
      <c r="N48" s="193"/>
      <c r="O48" s="199"/>
      <c r="P48" s="206"/>
      <c r="Q48" s="199"/>
      <c r="R48" s="194"/>
    </row>
    <row r="49" spans="1:18" ht="17.45" customHeight="1" x14ac:dyDescent="0.2">
      <c r="A49" s="350" t="s">
        <v>23</v>
      </c>
      <c r="B49" s="351"/>
      <c r="C49" s="133"/>
      <c r="D49" s="133"/>
      <c r="E49" s="133"/>
      <c r="F49" s="133"/>
      <c r="G49" s="133"/>
      <c r="H49" s="133"/>
      <c r="I49" s="133"/>
      <c r="J49" s="133"/>
      <c r="K49" s="133"/>
      <c r="L49" s="133"/>
      <c r="M49" s="133"/>
      <c r="N49" s="133"/>
      <c r="O49" s="133"/>
      <c r="P49" s="220"/>
      <c r="Q49" s="133"/>
      <c r="R49" s="239"/>
    </row>
    <row r="50" spans="1:18" ht="17.45" customHeight="1" x14ac:dyDescent="0.2">
      <c r="A50" s="380" t="s">
        <v>104</v>
      </c>
      <c r="B50" s="381"/>
      <c r="C50" s="134"/>
      <c r="D50" s="134"/>
      <c r="E50" s="134"/>
      <c r="F50" s="134"/>
      <c r="G50" s="134"/>
      <c r="H50" s="134"/>
      <c r="I50" s="134"/>
      <c r="J50" s="134"/>
      <c r="K50" s="134"/>
      <c r="L50" s="134"/>
      <c r="M50" s="134"/>
      <c r="N50" s="134"/>
      <c r="O50" s="134"/>
      <c r="P50" s="221"/>
      <c r="Q50" s="134"/>
      <c r="R50" s="240"/>
    </row>
    <row r="51" spans="1:18" ht="17.45" customHeight="1" x14ac:dyDescent="0.2">
      <c r="A51" s="371" t="s">
        <v>25</v>
      </c>
      <c r="B51" s="372"/>
      <c r="C51" s="135"/>
      <c r="D51" s="135"/>
      <c r="E51" s="135"/>
      <c r="F51" s="135"/>
      <c r="G51" s="135"/>
      <c r="H51" s="135"/>
      <c r="I51" s="135"/>
      <c r="J51" s="135"/>
      <c r="K51" s="135"/>
      <c r="L51" s="135"/>
      <c r="M51" s="135"/>
      <c r="N51" s="135"/>
      <c r="O51" s="135"/>
      <c r="P51" s="222"/>
      <c r="Q51" s="135"/>
      <c r="R51" s="241"/>
    </row>
    <row r="52" spans="1:18" ht="17.45" customHeight="1" x14ac:dyDescent="0.2">
      <c r="A52" s="350" t="s">
        <v>1</v>
      </c>
      <c r="B52" s="351"/>
      <c r="C52" s="133"/>
      <c r="D52" s="133"/>
      <c r="E52" s="133"/>
      <c r="F52" s="133"/>
      <c r="G52" s="133"/>
      <c r="H52" s="133"/>
      <c r="I52" s="133"/>
      <c r="J52" s="133"/>
      <c r="K52" s="133"/>
      <c r="L52" s="133"/>
      <c r="M52" s="133"/>
      <c r="N52" s="133"/>
      <c r="O52" s="133"/>
      <c r="P52" s="220"/>
      <c r="Q52" s="133"/>
      <c r="R52" s="239"/>
    </row>
    <row r="53" spans="1:18" ht="17.45" customHeight="1" x14ac:dyDescent="0.2">
      <c r="A53" s="350" t="s">
        <v>3</v>
      </c>
      <c r="B53" s="351"/>
      <c r="C53" s="133"/>
      <c r="D53" s="133"/>
      <c r="E53" s="133"/>
      <c r="F53" s="133"/>
      <c r="G53" s="133"/>
      <c r="H53" s="133"/>
      <c r="I53" s="133"/>
      <c r="J53" s="133"/>
      <c r="K53" s="133"/>
      <c r="L53" s="133"/>
      <c r="M53" s="133"/>
      <c r="N53" s="133"/>
      <c r="O53" s="133"/>
      <c r="P53" s="220"/>
      <c r="Q53" s="133"/>
      <c r="R53" s="239"/>
    </row>
    <row r="54" spans="1:18" ht="17.45" customHeight="1" x14ac:dyDescent="0.2">
      <c r="A54" s="350" t="s">
        <v>7</v>
      </c>
      <c r="B54" s="351"/>
      <c r="C54" s="133"/>
      <c r="D54" s="133"/>
      <c r="E54" s="133"/>
      <c r="F54" s="133"/>
      <c r="G54" s="133"/>
      <c r="H54" s="133"/>
      <c r="I54" s="133"/>
      <c r="J54" s="133"/>
      <c r="K54" s="133"/>
      <c r="L54" s="133"/>
      <c r="M54" s="133"/>
      <c r="N54" s="133"/>
      <c r="O54" s="133"/>
      <c r="P54" s="220"/>
      <c r="Q54" s="133"/>
      <c r="R54" s="239"/>
    </row>
    <row r="55" spans="1:18" ht="17.45" customHeight="1" x14ac:dyDescent="0.2">
      <c r="A55" s="342" t="s">
        <v>196</v>
      </c>
      <c r="B55" s="343"/>
      <c r="C55" s="133"/>
      <c r="D55" s="133"/>
      <c r="E55" s="133"/>
      <c r="F55" s="133"/>
      <c r="G55" s="133"/>
      <c r="H55" s="133"/>
      <c r="I55" s="133"/>
      <c r="J55" s="133"/>
      <c r="K55" s="133"/>
      <c r="L55" s="133"/>
      <c r="M55" s="133"/>
      <c r="N55" s="133"/>
      <c r="O55" s="133"/>
      <c r="P55" s="220"/>
      <c r="Q55" s="133"/>
      <c r="R55" s="239"/>
    </row>
    <row r="56" spans="1:18" ht="17.45" customHeight="1" x14ac:dyDescent="0.2">
      <c r="A56" s="348" t="s">
        <v>8</v>
      </c>
      <c r="B56" s="349"/>
      <c r="C56" s="129">
        <f t="shared" ref="C56:P56" si="7">8.345*C55</f>
        <v>0</v>
      </c>
      <c r="D56" s="129">
        <f t="shared" si="7"/>
        <v>0</v>
      </c>
      <c r="E56" s="129">
        <f t="shared" si="7"/>
        <v>0</v>
      </c>
      <c r="F56" s="129">
        <f t="shared" si="7"/>
        <v>0</v>
      </c>
      <c r="G56" s="129">
        <f t="shared" si="7"/>
        <v>0</v>
      </c>
      <c r="H56" s="129">
        <f t="shared" si="7"/>
        <v>0</v>
      </c>
      <c r="I56" s="129">
        <f t="shared" si="7"/>
        <v>0</v>
      </c>
      <c r="J56" s="129">
        <f t="shared" si="7"/>
        <v>0</v>
      </c>
      <c r="K56" s="129">
        <f t="shared" si="7"/>
        <v>0</v>
      </c>
      <c r="L56" s="129">
        <f t="shared" si="7"/>
        <v>0</v>
      </c>
      <c r="M56" s="129">
        <f t="shared" si="7"/>
        <v>0</v>
      </c>
      <c r="N56" s="129">
        <f t="shared" si="7"/>
        <v>0</v>
      </c>
      <c r="O56" s="129">
        <f t="shared" si="7"/>
        <v>0</v>
      </c>
      <c r="P56" s="208">
        <f t="shared" si="7"/>
        <v>0</v>
      </c>
      <c r="Q56" s="129">
        <f>8.345*Q55</f>
        <v>0</v>
      </c>
      <c r="R56" s="228">
        <f>8.345*R55</f>
        <v>0</v>
      </c>
    </row>
    <row r="57" spans="1:18" ht="17.45" customHeight="1" x14ac:dyDescent="0.2">
      <c r="A57" s="344" t="s">
        <v>197</v>
      </c>
      <c r="B57" s="345"/>
      <c r="C57" s="136"/>
      <c r="D57" s="136"/>
      <c r="E57" s="136"/>
      <c r="F57" s="136"/>
      <c r="G57" s="136"/>
      <c r="H57" s="136"/>
      <c r="I57" s="136"/>
      <c r="J57" s="136"/>
      <c r="K57" s="136"/>
      <c r="L57" s="136"/>
      <c r="M57" s="136"/>
      <c r="N57" s="136"/>
      <c r="O57" s="136"/>
      <c r="P57" s="223"/>
      <c r="Q57" s="136"/>
      <c r="R57" s="242"/>
    </row>
    <row r="58" spans="1:18" ht="17.45" customHeight="1" x14ac:dyDescent="0.2">
      <c r="A58" s="344" t="s">
        <v>46</v>
      </c>
      <c r="B58" s="345"/>
      <c r="C58" s="136"/>
      <c r="D58" s="136"/>
      <c r="E58" s="136"/>
      <c r="F58" s="136"/>
      <c r="G58" s="136"/>
      <c r="H58" s="136"/>
      <c r="I58" s="136"/>
      <c r="J58" s="136"/>
      <c r="K58" s="136"/>
      <c r="L58" s="136"/>
      <c r="M58" s="136"/>
      <c r="N58" s="136"/>
      <c r="O58" s="136"/>
      <c r="P58" s="223"/>
      <c r="Q58" s="136"/>
      <c r="R58" s="242"/>
    </row>
    <row r="59" spans="1:18" ht="17.45" customHeight="1" x14ac:dyDescent="0.2">
      <c r="A59" s="350" t="s">
        <v>14</v>
      </c>
      <c r="B59" s="351"/>
      <c r="C59" s="184"/>
      <c r="D59" s="133"/>
      <c r="E59" s="133"/>
      <c r="F59" s="133"/>
      <c r="G59" s="133"/>
      <c r="H59" s="133"/>
      <c r="I59" s="133"/>
      <c r="J59" s="133"/>
      <c r="K59" s="133"/>
      <c r="L59" s="133"/>
      <c r="M59" s="133"/>
      <c r="N59" s="133"/>
      <c r="O59" s="133"/>
      <c r="P59" s="220"/>
      <c r="Q59" s="133"/>
      <c r="R59" s="239"/>
    </row>
    <row r="60" spans="1:18" ht="17.45" customHeight="1" x14ac:dyDescent="0.2">
      <c r="A60" s="346" t="s">
        <v>20</v>
      </c>
      <c r="B60" s="347"/>
      <c r="C60" s="132"/>
      <c r="D60" s="132"/>
      <c r="E60" s="132"/>
      <c r="F60" s="132"/>
      <c r="G60" s="132"/>
      <c r="H60" s="132"/>
      <c r="I60" s="132"/>
      <c r="J60" s="132"/>
      <c r="K60" s="132"/>
      <c r="L60" s="132"/>
      <c r="M60" s="132"/>
      <c r="N60" s="132"/>
      <c r="O60" s="132"/>
      <c r="P60" s="218"/>
      <c r="Q60" s="132"/>
      <c r="R60" s="237"/>
    </row>
    <row r="61" spans="1:18" ht="17.45" customHeight="1" x14ac:dyDescent="0.2">
      <c r="A61" s="350" t="s">
        <v>21</v>
      </c>
      <c r="B61" s="351"/>
      <c r="C61" s="133"/>
      <c r="D61" s="133"/>
      <c r="E61" s="133"/>
      <c r="F61" s="133"/>
      <c r="G61" s="133"/>
      <c r="H61" s="133"/>
      <c r="I61" s="133"/>
      <c r="J61" s="133"/>
      <c r="K61" s="133"/>
      <c r="L61" s="133"/>
      <c r="M61" s="133"/>
      <c r="N61" s="133"/>
      <c r="O61" s="133"/>
      <c r="P61" s="220"/>
      <c r="Q61" s="133"/>
      <c r="R61" s="239"/>
    </row>
    <row r="62" spans="1:18" ht="17.45" customHeight="1" x14ac:dyDescent="0.2">
      <c r="A62" s="350" t="s">
        <v>22</v>
      </c>
      <c r="B62" s="351"/>
      <c r="C62" s="137"/>
      <c r="D62" s="137"/>
      <c r="E62" s="137"/>
      <c r="F62" s="137"/>
      <c r="G62" s="137"/>
      <c r="H62" s="137"/>
      <c r="I62" s="137"/>
      <c r="J62" s="137"/>
      <c r="K62" s="137"/>
      <c r="L62" s="137"/>
      <c r="M62" s="137"/>
      <c r="N62" s="137"/>
      <c r="O62" s="137"/>
      <c r="P62" s="224"/>
      <c r="Q62" s="137"/>
      <c r="R62" s="243"/>
    </row>
    <row r="63" spans="1:18" ht="17.45" customHeight="1" x14ac:dyDescent="0.2">
      <c r="A63" s="350" t="s">
        <v>23</v>
      </c>
      <c r="B63" s="351"/>
      <c r="C63" s="133"/>
      <c r="D63" s="133"/>
      <c r="E63" s="133"/>
      <c r="F63" s="133"/>
      <c r="G63" s="133"/>
      <c r="H63" s="133"/>
      <c r="I63" s="133"/>
      <c r="J63" s="133"/>
      <c r="K63" s="133"/>
      <c r="L63" s="133"/>
      <c r="M63" s="133"/>
      <c r="N63" s="133"/>
      <c r="O63" s="133"/>
      <c r="P63" s="220"/>
      <c r="Q63" s="133"/>
      <c r="R63" s="239"/>
    </row>
    <row r="64" spans="1:18" ht="17.45" customHeight="1" x14ac:dyDescent="0.2">
      <c r="A64" s="356" t="s">
        <v>26</v>
      </c>
      <c r="B64" s="357"/>
      <c r="C64" s="189"/>
      <c r="D64" s="189"/>
      <c r="E64" s="189"/>
      <c r="F64" s="189"/>
      <c r="G64" s="189"/>
      <c r="H64" s="189"/>
      <c r="I64" s="189"/>
      <c r="J64" s="189"/>
      <c r="K64" s="189"/>
      <c r="L64" s="189"/>
      <c r="M64" s="189"/>
      <c r="N64" s="189"/>
      <c r="O64" s="189"/>
      <c r="P64" s="192"/>
      <c r="Q64" s="189"/>
      <c r="R64" s="244"/>
    </row>
    <row r="65" spans="1:18" ht="17.45" customHeight="1" x14ac:dyDescent="0.2">
      <c r="A65" s="352" t="s">
        <v>18</v>
      </c>
      <c r="B65" s="353"/>
      <c r="C65" s="189"/>
      <c r="D65" s="189"/>
      <c r="E65" s="189"/>
      <c r="F65" s="189"/>
      <c r="G65" s="189"/>
      <c r="H65" s="189"/>
      <c r="I65" s="189"/>
      <c r="J65" s="189"/>
      <c r="K65" s="189"/>
      <c r="L65" s="189"/>
      <c r="M65" s="189"/>
      <c r="N65" s="189"/>
      <c r="O65" s="189"/>
      <c r="P65" s="192"/>
      <c r="Q65" s="189"/>
      <c r="R65" s="244"/>
    </row>
    <row r="66" spans="1:18" ht="17.45" customHeight="1" x14ac:dyDescent="0.2">
      <c r="A66" s="350" t="s">
        <v>319</v>
      </c>
      <c r="B66" s="351"/>
      <c r="C66" s="200"/>
      <c r="D66" s="200"/>
      <c r="E66" s="200"/>
      <c r="F66" s="200"/>
      <c r="G66" s="200"/>
      <c r="H66" s="200"/>
      <c r="I66" s="200"/>
      <c r="J66" s="200"/>
      <c r="K66" s="200"/>
      <c r="L66" s="200"/>
      <c r="M66" s="200"/>
      <c r="N66" s="200"/>
      <c r="O66" s="200"/>
      <c r="P66" s="225"/>
      <c r="Q66" s="189"/>
      <c r="R66" s="244"/>
    </row>
    <row r="67" spans="1:18" ht="17.45" customHeight="1" x14ac:dyDescent="0.2">
      <c r="A67" s="352" t="s">
        <v>320</v>
      </c>
      <c r="B67" s="353"/>
      <c r="C67" s="200"/>
      <c r="D67" s="200"/>
      <c r="E67" s="200"/>
      <c r="F67" s="200"/>
      <c r="G67" s="200"/>
      <c r="H67" s="200"/>
      <c r="I67" s="200"/>
      <c r="J67" s="200"/>
      <c r="K67" s="200"/>
      <c r="L67" s="200"/>
      <c r="M67" s="200"/>
      <c r="N67" s="200"/>
      <c r="O67" s="200"/>
      <c r="P67" s="225"/>
      <c r="Q67" s="189"/>
      <c r="R67" s="244"/>
    </row>
    <row r="68" spans="1:18" ht="17.45" customHeight="1" thickBot="1" x14ac:dyDescent="0.25">
      <c r="A68" s="354" t="s">
        <v>321</v>
      </c>
      <c r="B68" s="355"/>
      <c r="C68" s="138"/>
      <c r="D68" s="138"/>
      <c r="E68" s="138"/>
      <c r="F68" s="138"/>
      <c r="G68" s="138"/>
      <c r="H68" s="138"/>
      <c r="I68" s="138"/>
      <c r="J68" s="138"/>
      <c r="K68" s="138"/>
      <c r="L68" s="138"/>
      <c r="M68" s="138"/>
      <c r="N68" s="138"/>
      <c r="O68" s="138"/>
      <c r="P68" s="226"/>
      <c r="Q68" s="138"/>
      <c r="R68" s="245"/>
    </row>
    <row r="69" spans="1:18" x14ac:dyDescent="0.2">
      <c r="A69" s="139" t="s">
        <v>313</v>
      </c>
    </row>
    <row r="81" spans="1:6" ht="27.75" x14ac:dyDescent="0.4">
      <c r="A81" s="341" t="s">
        <v>0</v>
      </c>
      <c r="B81" s="341"/>
    </row>
    <row r="82" spans="1:6" x14ac:dyDescent="0.2">
      <c r="A82" s="21" t="s">
        <v>31</v>
      </c>
      <c r="B82" s="2" t="s">
        <v>30</v>
      </c>
    </row>
    <row r="83" spans="1:6" x14ac:dyDescent="0.2">
      <c r="A83" s="19" t="s">
        <v>12</v>
      </c>
      <c r="B83" s="2" t="s">
        <v>13</v>
      </c>
    </row>
    <row r="84" spans="1:6" x14ac:dyDescent="0.2">
      <c r="B84" s="140" t="s">
        <v>155</v>
      </c>
    </row>
    <row r="85" spans="1:6" x14ac:dyDescent="0.2">
      <c r="A85" s="123" t="s">
        <v>41</v>
      </c>
      <c r="B85" s="392" t="s">
        <v>138</v>
      </c>
      <c r="C85" s="392"/>
      <c r="D85" s="392"/>
      <c r="E85" s="392"/>
      <c r="F85" s="392"/>
    </row>
    <row r="86" spans="1:6" x14ac:dyDescent="0.2">
      <c r="A86" s="123" t="s">
        <v>44</v>
      </c>
      <c r="B86" s="68" t="s">
        <v>133</v>
      </c>
    </row>
    <row r="87" spans="1:6" x14ac:dyDescent="0.2">
      <c r="A87" s="123" t="s">
        <v>43</v>
      </c>
      <c r="B87" s="68" t="s">
        <v>134</v>
      </c>
    </row>
    <row r="88" spans="1:6" x14ac:dyDescent="0.2">
      <c r="A88" s="123" t="s">
        <v>47</v>
      </c>
      <c r="B88" s="68" t="s">
        <v>135</v>
      </c>
    </row>
    <row r="89" spans="1:6" x14ac:dyDescent="0.2">
      <c r="A89" s="123" t="s">
        <v>48</v>
      </c>
      <c r="B89" s="68" t="s">
        <v>136</v>
      </c>
    </row>
    <row r="90" spans="1:6" x14ac:dyDescent="0.2">
      <c r="A90" s="123" t="s">
        <v>49</v>
      </c>
      <c r="B90" s="68" t="s">
        <v>137</v>
      </c>
    </row>
    <row r="91" spans="1:6" x14ac:dyDescent="0.2">
      <c r="A91" s="123" t="s">
        <v>50</v>
      </c>
      <c r="B91" s="68" t="s">
        <v>139</v>
      </c>
    </row>
    <row r="92" spans="1:6" x14ac:dyDescent="0.2">
      <c r="A92" s="123" t="s">
        <v>51</v>
      </c>
      <c r="B92" s="68" t="s">
        <v>140</v>
      </c>
    </row>
    <row r="93" spans="1:6" x14ac:dyDescent="0.2">
      <c r="A93" s="123" t="s">
        <v>52</v>
      </c>
      <c r="B93" s="68" t="s">
        <v>141</v>
      </c>
    </row>
    <row r="94" spans="1:6" x14ac:dyDescent="0.2">
      <c r="A94" s="123" t="s">
        <v>53</v>
      </c>
      <c r="B94" s="68" t="s">
        <v>142</v>
      </c>
    </row>
    <row r="95" spans="1:6" x14ac:dyDescent="0.2">
      <c r="A95" s="123" t="s">
        <v>54</v>
      </c>
      <c r="B95" s="68" t="s">
        <v>143</v>
      </c>
    </row>
    <row r="96" spans="1:6" x14ac:dyDescent="0.2">
      <c r="A96" s="123" t="s">
        <v>55</v>
      </c>
      <c r="B96" s="68" t="s">
        <v>144</v>
      </c>
    </row>
    <row r="97" spans="1:2" x14ac:dyDescent="0.2">
      <c r="A97" s="123" t="s">
        <v>56</v>
      </c>
      <c r="B97" s="68" t="s">
        <v>145</v>
      </c>
    </row>
    <row r="98" spans="1:2" x14ac:dyDescent="0.2">
      <c r="A98" s="123" t="s">
        <v>57</v>
      </c>
      <c r="B98" s="68" t="s">
        <v>146</v>
      </c>
    </row>
    <row r="99" spans="1:2" x14ac:dyDescent="0.2">
      <c r="A99" s="123" t="s">
        <v>58</v>
      </c>
      <c r="B99" s="68" t="s">
        <v>147</v>
      </c>
    </row>
    <row r="100" spans="1:2" x14ac:dyDescent="0.2">
      <c r="A100" s="123" t="s">
        <v>59</v>
      </c>
      <c r="B100" s="68" t="s">
        <v>148</v>
      </c>
    </row>
    <row r="101" spans="1:2" x14ac:dyDescent="0.2">
      <c r="A101" s="123" t="s">
        <v>60</v>
      </c>
      <c r="B101" s="68" t="s">
        <v>149</v>
      </c>
    </row>
    <row r="102" spans="1:2" x14ac:dyDescent="0.2">
      <c r="A102" s="123" t="s">
        <v>61</v>
      </c>
      <c r="B102" s="141" t="s">
        <v>150</v>
      </c>
    </row>
    <row r="103" spans="1:2" x14ac:dyDescent="0.2">
      <c r="A103" s="123" t="s">
        <v>62</v>
      </c>
      <c r="B103" s="4" t="s">
        <v>422</v>
      </c>
    </row>
    <row r="104" spans="1:2" x14ac:dyDescent="0.2">
      <c r="A104" s="123" t="s">
        <v>63</v>
      </c>
      <c r="B104" s="141" t="s">
        <v>423</v>
      </c>
    </row>
    <row r="105" spans="1:2" x14ac:dyDescent="0.2">
      <c r="A105" s="123" t="s">
        <v>64</v>
      </c>
      <c r="B105" s="141" t="s">
        <v>424</v>
      </c>
    </row>
    <row r="106" spans="1:2" x14ac:dyDescent="0.2">
      <c r="A106" s="123" t="s">
        <v>65</v>
      </c>
      <c r="B106" s="141" t="s">
        <v>425</v>
      </c>
    </row>
    <row r="107" spans="1:2" x14ac:dyDescent="0.2">
      <c r="A107" s="123" t="s">
        <v>152</v>
      </c>
      <c r="B107" s="141" t="s">
        <v>426</v>
      </c>
    </row>
    <row r="108" spans="1:2" x14ac:dyDescent="0.2">
      <c r="A108" s="123" t="s">
        <v>153</v>
      </c>
      <c r="B108" s="141" t="s">
        <v>448</v>
      </c>
    </row>
    <row r="109" spans="1:2" x14ac:dyDescent="0.2">
      <c r="A109" s="123" t="s">
        <v>154</v>
      </c>
      <c r="B109" s="4" t="s">
        <v>427</v>
      </c>
    </row>
    <row r="110" spans="1:2" x14ac:dyDescent="0.2">
      <c r="A110" s="123" t="s">
        <v>106</v>
      </c>
      <c r="B110" s="141" t="s">
        <v>151</v>
      </c>
    </row>
    <row r="111" spans="1:2" x14ac:dyDescent="0.2">
      <c r="A111" s="119"/>
    </row>
    <row r="112" spans="1:2" x14ac:dyDescent="0.2">
      <c r="B112" s="141"/>
    </row>
    <row r="113" spans="1:2" x14ac:dyDescent="0.2">
      <c r="A113" s="24" t="s">
        <v>32</v>
      </c>
      <c r="B113" s="2" t="s">
        <v>33</v>
      </c>
    </row>
    <row r="114" spans="1:2" x14ac:dyDescent="0.2">
      <c r="A114" s="19" t="s">
        <v>12</v>
      </c>
      <c r="B114" s="1" t="s">
        <v>13</v>
      </c>
    </row>
    <row r="115" spans="1:2" x14ac:dyDescent="0.2">
      <c r="A115" s="123" t="s">
        <v>41</v>
      </c>
      <c r="B115" s="5" t="s">
        <v>207</v>
      </c>
    </row>
    <row r="116" spans="1:2" x14ac:dyDescent="0.2">
      <c r="A116" s="123" t="s">
        <v>44</v>
      </c>
      <c r="B116" s="5" t="s">
        <v>208</v>
      </c>
    </row>
    <row r="117" spans="1:2" x14ac:dyDescent="0.2">
      <c r="A117" s="123" t="s">
        <v>43</v>
      </c>
      <c r="B117" s="5" t="s">
        <v>209</v>
      </c>
    </row>
    <row r="118" spans="1:2" x14ac:dyDescent="0.2">
      <c r="A118" s="123" t="s">
        <v>47</v>
      </c>
      <c r="B118" s="5" t="s">
        <v>210</v>
      </c>
    </row>
    <row r="119" spans="1:2" x14ac:dyDescent="0.2">
      <c r="A119" s="123" t="s">
        <v>48</v>
      </c>
      <c r="B119" s="5" t="s">
        <v>211</v>
      </c>
    </row>
    <row r="120" spans="1:2" x14ac:dyDescent="0.2">
      <c r="A120" s="123" t="s">
        <v>49</v>
      </c>
      <c r="B120" s="4" t="s">
        <v>212</v>
      </c>
    </row>
    <row r="121" spans="1:2" x14ac:dyDescent="0.2">
      <c r="B121" s="23"/>
    </row>
    <row r="122" spans="1:2" x14ac:dyDescent="0.2">
      <c r="A122" s="24" t="s">
        <v>34</v>
      </c>
      <c r="B122" s="2" t="s">
        <v>35</v>
      </c>
    </row>
    <row r="123" spans="1:2" x14ac:dyDescent="0.2">
      <c r="A123" s="24"/>
      <c r="B123" s="2" t="s">
        <v>318</v>
      </c>
    </row>
    <row r="124" spans="1:2" x14ac:dyDescent="0.2">
      <c r="A124" s="19" t="s">
        <v>12</v>
      </c>
      <c r="B124" s="2" t="s">
        <v>13</v>
      </c>
    </row>
    <row r="125" spans="1:2" x14ac:dyDescent="0.2">
      <c r="A125" s="123" t="s">
        <v>41</v>
      </c>
      <c r="B125" s="5" t="s">
        <v>213</v>
      </c>
    </row>
    <row r="126" spans="1:2" x14ac:dyDescent="0.2">
      <c r="A126" s="123" t="s">
        <v>44</v>
      </c>
      <c r="B126" s="5" t="s">
        <v>214</v>
      </c>
    </row>
    <row r="127" spans="1:2" x14ac:dyDescent="0.2">
      <c r="A127" s="123" t="s">
        <v>43</v>
      </c>
      <c r="B127" s="5" t="s">
        <v>395</v>
      </c>
    </row>
    <row r="128" spans="1:2" x14ac:dyDescent="0.2">
      <c r="A128" s="123" t="s">
        <v>47</v>
      </c>
      <c r="B128" s="5" t="s">
        <v>215</v>
      </c>
    </row>
    <row r="129" spans="1:2" x14ac:dyDescent="0.2">
      <c r="A129" s="123" t="s">
        <v>48</v>
      </c>
      <c r="B129" s="4" t="s">
        <v>216</v>
      </c>
    </row>
    <row r="130" spans="1:2" x14ac:dyDescent="0.2">
      <c r="B130" s="4"/>
    </row>
    <row r="131" spans="1:2" x14ac:dyDescent="0.2">
      <c r="B131" s="1" t="s">
        <v>328</v>
      </c>
    </row>
    <row r="132" spans="1:2" x14ac:dyDescent="0.2">
      <c r="A132" s="19" t="s">
        <v>12</v>
      </c>
      <c r="B132" s="2" t="s">
        <v>13</v>
      </c>
    </row>
    <row r="133" spans="1:2" x14ac:dyDescent="0.2">
      <c r="A133" s="123" t="s">
        <v>41</v>
      </c>
      <c r="B133" s="4" t="s">
        <v>329</v>
      </c>
    </row>
    <row r="134" spans="1:2" x14ac:dyDescent="0.2">
      <c r="A134" s="123" t="s">
        <v>44</v>
      </c>
      <c r="B134" s="4" t="s">
        <v>330</v>
      </c>
    </row>
    <row r="135" spans="1:2" x14ac:dyDescent="0.2">
      <c r="A135" s="123" t="s">
        <v>43</v>
      </c>
      <c r="B135" s="4" t="s">
        <v>396</v>
      </c>
    </row>
    <row r="136" spans="1:2" x14ac:dyDescent="0.2">
      <c r="A136" s="123" t="s">
        <v>47</v>
      </c>
      <c r="B136" s="4" t="s">
        <v>331</v>
      </c>
    </row>
    <row r="137" spans="1:2" x14ac:dyDescent="0.2">
      <c r="A137" s="123" t="s">
        <v>48</v>
      </c>
      <c r="B137" s="4" t="s">
        <v>332</v>
      </c>
    </row>
    <row r="138" spans="1:2" x14ac:dyDescent="0.2">
      <c r="B138" s="141"/>
    </row>
    <row r="139" spans="1:2" x14ac:dyDescent="0.2">
      <c r="A139" s="24" t="s">
        <v>36</v>
      </c>
      <c r="B139" s="2" t="s">
        <v>192</v>
      </c>
    </row>
    <row r="140" spans="1:2" x14ac:dyDescent="0.2">
      <c r="B140" s="141"/>
    </row>
    <row r="141" spans="1:2" x14ac:dyDescent="0.2">
      <c r="A141" s="24" t="s">
        <v>37</v>
      </c>
      <c r="B141" s="2" t="s">
        <v>38</v>
      </c>
    </row>
    <row r="142" spans="1:2" x14ac:dyDescent="0.2">
      <c r="A142" s="24"/>
      <c r="B142" s="2"/>
    </row>
    <row r="143" spans="1:2" x14ac:dyDescent="0.2">
      <c r="A143" s="24" t="s">
        <v>273</v>
      </c>
      <c r="B143" s="144" t="s">
        <v>274</v>
      </c>
    </row>
    <row r="144" spans="1:2" x14ac:dyDescent="0.2">
      <c r="A144" s="123" t="s">
        <v>12</v>
      </c>
      <c r="B144" s="141" t="s">
        <v>217</v>
      </c>
    </row>
    <row r="145" spans="1:2" x14ac:dyDescent="0.2">
      <c r="A145" s="140">
        <v>1</v>
      </c>
      <c r="B145" s="141" t="s">
        <v>236</v>
      </c>
    </row>
    <row r="146" spans="1:2" x14ac:dyDescent="0.2">
      <c r="A146" s="123" t="s">
        <v>218</v>
      </c>
      <c r="B146" s="141" t="s">
        <v>397</v>
      </c>
    </row>
    <row r="147" spans="1:2" x14ac:dyDescent="0.2">
      <c r="A147" s="123" t="s">
        <v>219</v>
      </c>
      <c r="B147" s="141" t="s">
        <v>276</v>
      </c>
    </row>
    <row r="148" spans="1:2" x14ac:dyDescent="0.2">
      <c r="A148" s="123" t="s">
        <v>220</v>
      </c>
      <c r="B148" s="141" t="s">
        <v>277</v>
      </c>
    </row>
    <row r="149" spans="1:2" x14ac:dyDescent="0.2">
      <c r="A149" s="140">
        <v>2</v>
      </c>
      <c r="B149" s="141" t="s">
        <v>235</v>
      </c>
    </row>
    <row r="150" spans="1:2" x14ac:dyDescent="0.2">
      <c r="A150" s="123" t="s">
        <v>227</v>
      </c>
      <c r="B150" s="141" t="s">
        <v>393</v>
      </c>
    </row>
    <row r="151" spans="1:2" x14ac:dyDescent="0.2">
      <c r="A151" s="123" t="s">
        <v>228</v>
      </c>
      <c r="B151" s="141" t="s">
        <v>278</v>
      </c>
    </row>
    <row r="152" spans="1:2" x14ac:dyDescent="0.2">
      <c r="A152" s="123" t="s">
        <v>229</v>
      </c>
      <c r="B152" s="141" t="s">
        <v>279</v>
      </c>
    </row>
    <row r="153" spans="1:2" x14ac:dyDescent="0.2">
      <c r="A153" s="140">
        <v>3</v>
      </c>
      <c r="B153" s="141" t="s">
        <v>238</v>
      </c>
    </row>
    <row r="154" spans="1:2" x14ac:dyDescent="0.2">
      <c r="A154" s="123" t="s">
        <v>239</v>
      </c>
      <c r="B154" s="141" t="s">
        <v>398</v>
      </c>
    </row>
    <row r="155" spans="1:2" x14ac:dyDescent="0.2">
      <c r="A155" s="123" t="s">
        <v>240</v>
      </c>
      <c r="B155" s="141" t="s">
        <v>399</v>
      </c>
    </row>
    <row r="156" spans="1:2" x14ac:dyDescent="0.2">
      <c r="A156" s="123" t="s">
        <v>242</v>
      </c>
      <c r="B156" s="141" t="s">
        <v>280</v>
      </c>
    </row>
    <row r="157" spans="1:2" x14ac:dyDescent="0.2">
      <c r="A157" s="140">
        <v>4</v>
      </c>
      <c r="B157" s="141" t="s">
        <v>244</v>
      </c>
    </row>
    <row r="158" spans="1:2" x14ac:dyDescent="0.2">
      <c r="A158" s="123" t="s">
        <v>260</v>
      </c>
      <c r="B158" s="141" t="s">
        <v>400</v>
      </c>
    </row>
    <row r="159" spans="1:2" x14ac:dyDescent="0.2">
      <c r="A159" s="123" t="s">
        <v>261</v>
      </c>
      <c r="B159" s="141" t="s">
        <v>281</v>
      </c>
    </row>
    <row r="160" spans="1:2" x14ac:dyDescent="0.2">
      <c r="A160" s="123" t="s">
        <v>262</v>
      </c>
      <c r="B160" s="141" t="s">
        <v>282</v>
      </c>
    </row>
    <row r="161" spans="1:2" x14ac:dyDescent="0.2">
      <c r="A161" s="140">
        <v>5</v>
      </c>
      <c r="B161" s="141" t="s">
        <v>401</v>
      </c>
    </row>
    <row r="162" spans="1:2" x14ac:dyDescent="0.2">
      <c r="A162" s="123" t="s">
        <v>263</v>
      </c>
      <c r="B162" s="141" t="s">
        <v>402</v>
      </c>
    </row>
    <row r="163" spans="1:2" x14ac:dyDescent="0.2">
      <c r="A163" s="123" t="s">
        <v>264</v>
      </c>
      <c r="B163" s="141" t="s">
        <v>403</v>
      </c>
    </row>
    <row r="164" spans="1:2" x14ac:dyDescent="0.2">
      <c r="A164" s="123" t="s">
        <v>265</v>
      </c>
      <c r="B164" s="141" t="s">
        <v>404</v>
      </c>
    </row>
    <row r="165" spans="1:2" x14ac:dyDescent="0.2">
      <c r="A165" s="140">
        <v>6</v>
      </c>
      <c r="B165" s="141" t="s">
        <v>249</v>
      </c>
    </row>
    <row r="166" spans="1:2" x14ac:dyDescent="0.2">
      <c r="A166" s="123" t="s">
        <v>266</v>
      </c>
      <c r="B166" s="141" t="s">
        <v>283</v>
      </c>
    </row>
    <row r="167" spans="1:2" x14ac:dyDescent="0.2">
      <c r="A167" s="123" t="s">
        <v>267</v>
      </c>
      <c r="B167" s="141" t="s">
        <v>284</v>
      </c>
    </row>
    <row r="168" spans="1:2" x14ac:dyDescent="0.2">
      <c r="A168" s="123" t="s">
        <v>268</v>
      </c>
      <c r="B168" s="141" t="s">
        <v>285</v>
      </c>
    </row>
    <row r="169" spans="1:2" x14ac:dyDescent="0.2">
      <c r="A169" s="123" t="s">
        <v>269</v>
      </c>
      <c r="B169" s="141" t="s">
        <v>286</v>
      </c>
    </row>
    <row r="170" spans="1:2" x14ac:dyDescent="0.2">
      <c r="A170" s="123" t="s">
        <v>270</v>
      </c>
      <c r="B170" s="141" t="s">
        <v>287</v>
      </c>
    </row>
    <row r="171" spans="1:2" x14ac:dyDescent="0.2">
      <c r="A171" s="123" t="s">
        <v>271</v>
      </c>
      <c r="B171" s="141" t="s">
        <v>288</v>
      </c>
    </row>
    <row r="172" spans="1:2" x14ac:dyDescent="0.2">
      <c r="A172" s="140">
        <v>7</v>
      </c>
      <c r="B172" s="141" t="s">
        <v>256</v>
      </c>
    </row>
    <row r="173" spans="1:2" x14ac:dyDescent="0.2">
      <c r="A173" s="140">
        <v>8</v>
      </c>
      <c r="B173" s="141" t="s">
        <v>257</v>
      </c>
    </row>
    <row r="174" spans="1:2" x14ac:dyDescent="0.2">
      <c r="A174" s="140">
        <v>9</v>
      </c>
      <c r="B174" s="141" t="s">
        <v>258</v>
      </c>
    </row>
    <row r="175" spans="1:2" x14ac:dyDescent="0.2">
      <c r="A175" s="140">
        <v>10</v>
      </c>
      <c r="B175" s="141" t="s">
        <v>405</v>
      </c>
    </row>
    <row r="176" spans="1:2" x14ac:dyDescent="0.2">
      <c r="B176" s="141"/>
    </row>
    <row r="177" spans="1:8" x14ac:dyDescent="0.2">
      <c r="B177" s="141"/>
    </row>
    <row r="178" spans="1:8" ht="15" x14ac:dyDescent="0.25">
      <c r="A178" s="22"/>
      <c r="B178" s="444" t="s">
        <v>449</v>
      </c>
      <c r="C178" s="444"/>
      <c r="D178" s="444"/>
      <c r="E178" s="444"/>
      <c r="F178" s="444"/>
      <c r="G178" s="444"/>
      <c r="H178" s="444"/>
    </row>
    <row r="179" spans="1:8" x14ac:dyDescent="0.2">
      <c r="B179" s="2"/>
    </row>
    <row r="180" spans="1:8" x14ac:dyDescent="0.2">
      <c r="A180"/>
      <c r="B180" s="14"/>
    </row>
  </sheetData>
  <mergeCells count="67">
    <mergeCell ref="B85:F85"/>
    <mergeCell ref="A39:B39"/>
    <mergeCell ref="A46:B46"/>
    <mergeCell ref="A17:B17"/>
    <mergeCell ref="A28:B28"/>
    <mergeCell ref="A31:B31"/>
    <mergeCell ref="A32:B32"/>
    <mergeCell ref="A33:B33"/>
    <mergeCell ref="A34:B34"/>
    <mergeCell ref="A29:B29"/>
    <mergeCell ref="A19:B19"/>
    <mergeCell ref="A22:B22"/>
    <mergeCell ref="A30:B30"/>
    <mergeCell ref="A24:B24"/>
    <mergeCell ref="A20:B20"/>
    <mergeCell ref="A26:B26"/>
    <mergeCell ref="A27:B27"/>
    <mergeCell ref="A50:B50"/>
    <mergeCell ref="A47:B47"/>
    <mergeCell ref="A15:B15"/>
    <mergeCell ref="A38:B38"/>
    <mergeCell ref="A35:B35"/>
    <mergeCell ref="A40:B40"/>
    <mergeCell ref="A41:B41"/>
    <mergeCell ref="A43:B43"/>
    <mergeCell ref="A36:B36"/>
    <mergeCell ref="A23:B23"/>
    <mergeCell ref="A21:B21"/>
    <mergeCell ref="A12:B12"/>
    <mergeCell ref="A14:B14"/>
    <mergeCell ref="A48:B48"/>
    <mergeCell ref="A53:B53"/>
    <mergeCell ref="A8:B8"/>
    <mergeCell ref="A49:B49"/>
    <mergeCell ref="A52:B52"/>
    <mergeCell ref="A16:B16"/>
    <mergeCell ref="A18:B18"/>
    <mergeCell ref="B1:O1"/>
    <mergeCell ref="B2:O2"/>
    <mergeCell ref="B3:O3"/>
    <mergeCell ref="L4:M4"/>
    <mergeCell ref="E4:G4"/>
    <mergeCell ref="A54:B54"/>
    <mergeCell ref="A51:B51"/>
    <mergeCell ref="A11:B11"/>
    <mergeCell ref="A13:B13"/>
    <mergeCell ref="A44:B44"/>
    <mergeCell ref="A59:B59"/>
    <mergeCell ref="A65:B65"/>
    <mergeCell ref="A63:B63"/>
    <mergeCell ref="A61:B61"/>
    <mergeCell ref="A62:B62"/>
    <mergeCell ref="A3:A5"/>
    <mergeCell ref="A10:B10"/>
    <mergeCell ref="A7:B7"/>
    <mergeCell ref="A9:B9"/>
    <mergeCell ref="A45:B45"/>
    <mergeCell ref="A81:B81"/>
    <mergeCell ref="A55:B55"/>
    <mergeCell ref="A57:B57"/>
    <mergeCell ref="A60:B60"/>
    <mergeCell ref="A56:B56"/>
    <mergeCell ref="A66:B66"/>
    <mergeCell ref="A67:B67"/>
    <mergeCell ref="A68:B68"/>
    <mergeCell ref="A64:B64"/>
    <mergeCell ref="A58:B58"/>
  </mergeCells>
  <phoneticPr fontId="0" type="noConversion"/>
  <dataValidations xWindow="619" yWindow="226" count="8">
    <dataValidation type="list" allowBlank="1" showInputMessage="1" showErrorMessage="1" promptTitle="Resin or Gelcoat" prompt="Is material being applied a resin or gelcoat?" sqref="C11:R11">
      <formula1>"Resin, Gelcoat"</formula1>
    </dataValidation>
    <dataValidation type="list" allowBlank="1" showInputMessage="1" showErrorMessage="1" promptTitle="Other Materials" prompt="Acetone, Solvents, Thinners, Reducters, Other" sqref="C12:R12">
      <formula1>"Acetone, Solvents, Thinner, Reducer, Other"</formula1>
    </dataValidation>
    <dataValidation type="list" allowBlank="1" showInputMessage="1" showErrorMessage="1" promptTitle="Method Applied" prompt="Method used to apply resin &amp; gelcoat.  Needed to calculate emissions." sqref="C8 Q8">
      <formula1>$B$84:$B$110</formula1>
    </dataValidation>
    <dataValidation type="list" allowBlank="1" showInputMessage="1" showErrorMessage="1" promptTitle="Method Applied" prompt="Method used to apply resin &amp; gelcoat.  Needed to calculate emissions." sqref="D8:P8 R8">
      <formula1>$B84:$B110</formula1>
    </dataValidation>
    <dataValidation type="list" allowBlank="1" showInputMessage="1" showErrorMessage="1" promptTitle="Usage" prompt="Resin &amp; Gelcoat Usage and Method Applied.  Needed for determining MACT Limits_x000a_" sqref="C9:R9">
      <formula1>$B143:$B174</formula1>
    </dataValidation>
    <dataValidation type="list" allowBlank="1" showInputMessage="1" showErrorMessage="1" promptTitle="VOC Emission Control System" prompt="VOC Emission Control System" sqref="C65:R65">
      <formula1>$B124:$B128</formula1>
    </dataValidation>
    <dataValidation type="list" allowBlank="1" showInputMessage="1" showErrorMessage="1" promptTitle="PM Control System" prompt="PM Control System" sqref="C67:R67">
      <formula1>$B$132:$B$136</formula1>
    </dataValidation>
    <dataValidation type="list" allowBlank="1" showInputMessage="1" showErrorMessage="1" promptTitle="Method of Curing" prompt="Select code that matches 'Method of Curing'." sqref="C64">
      <formula1>$B$114:$B$119</formula1>
    </dataValidation>
  </dataValidations>
  <printOptions horizontalCentered="1" verticalCentered="1"/>
  <pageMargins left="0.2" right="0.2" top="0.25" bottom="0.25" header="0" footer="0.25"/>
  <pageSetup paperSize="313" scale="58" fitToHeight="2" orientation="landscape" r:id="rId1"/>
  <headerFooter alignWithMargins="0">
    <oddFooter>&amp;CPage &amp;P of &amp;N&amp;R&amp;8REV . &amp;D</oddFooter>
  </headerFooter>
  <rowBreaks count="1" manualBreakCount="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107"/>
  <sheetViews>
    <sheetView workbookViewId="0">
      <pane xSplit="1" ySplit="11" topLeftCell="B105" activePane="bottomRight" state="frozen"/>
      <selection pane="topRight" activeCell="B1" sqref="B1"/>
      <selection pane="bottomLeft" activeCell="A12" sqref="A12"/>
      <selection pane="bottomRight" activeCell="C14" sqref="C14"/>
    </sheetView>
  </sheetViews>
  <sheetFormatPr defaultRowHeight="12.75" x14ac:dyDescent="0.2"/>
  <cols>
    <col min="1" max="1" width="32.85546875" bestFit="1" customWidth="1"/>
    <col min="2" max="2" width="17.85546875" bestFit="1" customWidth="1"/>
    <col min="3" max="18" width="10.7109375" customWidth="1"/>
    <col min="19" max="19" width="11.140625" bestFit="1" customWidth="1"/>
    <col min="21" max="21" width="11.140625" bestFit="1" customWidth="1"/>
  </cols>
  <sheetData>
    <row r="1" spans="1:22" ht="33" x14ac:dyDescent="0.45">
      <c r="A1" s="393" t="s">
        <v>68</v>
      </c>
      <c r="B1" s="393"/>
      <c r="C1" s="393"/>
      <c r="D1" s="393"/>
      <c r="E1" s="393"/>
      <c r="F1" s="393"/>
      <c r="G1" s="393"/>
      <c r="H1" s="393"/>
      <c r="I1" s="393"/>
      <c r="J1" s="393"/>
      <c r="K1" s="393"/>
      <c r="L1" s="393"/>
      <c r="M1" s="393"/>
      <c r="N1" s="393"/>
      <c r="O1" s="393"/>
      <c r="P1" s="393"/>
      <c r="Q1" s="393"/>
      <c r="R1" s="393"/>
      <c r="S1" s="393"/>
      <c r="T1" s="393"/>
      <c r="U1" s="393"/>
    </row>
    <row r="2" spans="1:22" s="37" customFormat="1" x14ac:dyDescent="0.2">
      <c r="A2" s="36"/>
      <c r="B2" s="36"/>
      <c r="C2" s="36"/>
      <c r="D2" s="36"/>
      <c r="E2" s="36"/>
      <c r="F2" s="36"/>
      <c r="G2" s="36"/>
      <c r="H2" s="36"/>
      <c r="I2" s="36"/>
      <c r="J2" s="36"/>
      <c r="K2" s="36"/>
      <c r="L2" s="36"/>
      <c r="M2" s="36"/>
      <c r="N2" s="36"/>
      <c r="O2" s="36"/>
      <c r="P2" s="36"/>
      <c r="Q2" s="36"/>
      <c r="R2" s="36"/>
    </row>
    <row r="3" spans="1:22" s="35" customFormat="1" ht="18" x14ac:dyDescent="0.25">
      <c r="A3" s="33" t="s">
        <v>76</v>
      </c>
      <c r="B3" s="396">
        <f>'Data-Collection'!E4</f>
        <v>0</v>
      </c>
      <c r="C3" s="396"/>
      <c r="D3" s="396"/>
      <c r="E3" s="396"/>
      <c r="F3" s="396"/>
      <c r="G3" s="39"/>
      <c r="H3" s="39"/>
      <c r="I3" s="33" t="s">
        <v>77</v>
      </c>
      <c r="J3" s="396">
        <f>'Data-Collection'!K4</f>
        <v>0</v>
      </c>
      <c r="K3" s="396"/>
      <c r="L3" s="396"/>
      <c r="M3" s="396"/>
      <c r="N3" s="396"/>
      <c r="O3" s="34"/>
      <c r="P3" s="38" t="s">
        <v>80</v>
      </c>
      <c r="Q3" s="38"/>
      <c r="R3" s="38"/>
      <c r="S3" s="39" t="str">
        <f>'Data-Collection'!A3</f>
        <v>20_ _</v>
      </c>
    </row>
    <row r="4" spans="1:22" s="35" customFormat="1" ht="18" x14ac:dyDescent="0.25">
      <c r="A4" s="33" t="s">
        <v>79</v>
      </c>
      <c r="B4" s="39" t="str">
        <f>'Data-Collection'!E5</f>
        <v xml:space="preserve">|_0_|_0_|_0_|_0_|  </v>
      </c>
      <c r="C4" s="39"/>
      <c r="D4" s="39"/>
      <c r="E4" s="39"/>
      <c r="F4" s="39"/>
      <c r="G4" s="39"/>
      <c r="H4" s="39"/>
      <c r="I4" s="33" t="s">
        <v>78</v>
      </c>
      <c r="J4" s="39" t="str">
        <f>'Data-Collection'!K5</f>
        <v>|_0_|_0_|_0_|_0_|_0_|</v>
      </c>
      <c r="K4" s="34"/>
      <c r="L4" s="34"/>
      <c r="M4" s="34"/>
      <c r="N4" s="34"/>
      <c r="O4" s="34"/>
      <c r="P4" s="34"/>
      <c r="Q4" s="34"/>
      <c r="R4" s="34"/>
    </row>
    <row r="5" spans="1:22" s="35" customFormat="1" ht="18" x14ac:dyDescent="0.25">
      <c r="C5" s="39"/>
      <c r="D5" s="39"/>
      <c r="E5" s="39"/>
      <c r="F5" s="39"/>
      <c r="G5" s="39"/>
      <c r="H5" s="39"/>
      <c r="I5" s="39"/>
      <c r="J5" s="39"/>
      <c r="K5" s="34"/>
      <c r="L5" s="34"/>
      <c r="M5" s="34"/>
      <c r="N5" s="34"/>
      <c r="O5" s="34"/>
      <c r="P5" s="34"/>
      <c r="Q5" s="34"/>
      <c r="R5" s="34"/>
    </row>
    <row r="6" spans="1:22" x14ac:dyDescent="0.2">
      <c r="A6" t="s">
        <v>42</v>
      </c>
      <c r="C6" s="15">
        <f>'Data-Collection'!C7</f>
        <v>1</v>
      </c>
      <c r="D6" s="15">
        <f>'Data-Collection'!D7</f>
        <v>2</v>
      </c>
      <c r="E6" s="15">
        <f>'Data-Collection'!E7</f>
        <v>3</v>
      </c>
      <c r="F6" s="15">
        <f>'Data-Collection'!F7</f>
        <v>4</v>
      </c>
      <c r="G6" s="15">
        <f>'Data-Collection'!G7</f>
        <v>5</v>
      </c>
      <c r="H6" s="15">
        <f>'Data-Collection'!H7</f>
        <v>6</v>
      </c>
      <c r="I6" s="15">
        <f>'Data-Collection'!I7</f>
        <v>7</v>
      </c>
      <c r="J6" s="15">
        <f>'Data-Collection'!J7</f>
        <v>8</v>
      </c>
      <c r="K6" s="15">
        <f>'Data-Collection'!K7</f>
        <v>9</v>
      </c>
      <c r="L6" s="15">
        <f>'Data-Collection'!L7</f>
        <v>10</v>
      </c>
      <c r="M6" s="15">
        <f>'Data-Collection'!M7</f>
        <v>11</v>
      </c>
      <c r="N6" s="15">
        <f>'Data-Collection'!N7</f>
        <v>12</v>
      </c>
      <c r="O6" s="15">
        <f>'Data-Collection'!O7</f>
        <v>13</v>
      </c>
      <c r="P6" s="15">
        <f>'Data-Collection'!P7</f>
        <v>14</v>
      </c>
      <c r="Q6" s="15">
        <f>'Data-Collection'!Q7</f>
        <v>15</v>
      </c>
      <c r="R6" s="15">
        <f>'Data-Collection'!R7</f>
        <v>16</v>
      </c>
      <c r="S6" s="395"/>
      <c r="T6" s="395"/>
      <c r="U6" s="395"/>
    </row>
    <row r="7" spans="1:22" x14ac:dyDescent="0.2">
      <c r="A7" t="s">
        <v>45</v>
      </c>
      <c r="C7" s="15" t="str">
        <f>LEFT('Data-Collection'!C8,1)</f>
        <v/>
      </c>
      <c r="D7" s="15" t="str">
        <f>LEFT('Data-Collection'!D8,1)</f>
        <v/>
      </c>
      <c r="E7" s="15" t="str">
        <f>LEFT('Data-Collection'!E8,1)</f>
        <v/>
      </c>
      <c r="F7" s="15" t="str">
        <f>LEFT('Data-Collection'!F8,1)</f>
        <v/>
      </c>
      <c r="G7" s="15" t="str">
        <f>LEFT('Data-Collection'!G8,1)</f>
        <v/>
      </c>
      <c r="H7" s="15" t="str">
        <f>LEFT('Data-Collection'!H8,1)</f>
        <v/>
      </c>
      <c r="I7" s="15" t="str">
        <f>LEFT('Data-Collection'!I8,1)</f>
        <v/>
      </c>
      <c r="J7" s="15" t="str">
        <f>LEFT('Data-Collection'!J8,1)</f>
        <v/>
      </c>
      <c r="K7" s="15" t="str">
        <f>LEFT('Data-Collection'!K8,1)</f>
        <v/>
      </c>
      <c r="L7" s="15" t="str">
        <f>LEFT('Data-Collection'!L8,1)</f>
        <v/>
      </c>
      <c r="M7" s="15" t="str">
        <f>LEFT('Data-Collection'!M8,1)</f>
        <v/>
      </c>
      <c r="N7" s="15" t="str">
        <f>LEFT('Data-Collection'!N8,1)</f>
        <v/>
      </c>
      <c r="O7" s="15" t="str">
        <f>LEFT('Data-Collection'!O8,1)</f>
        <v/>
      </c>
      <c r="P7" s="15" t="str">
        <f>LEFT('Data-Collection'!P8,1)</f>
        <v/>
      </c>
      <c r="Q7" s="15" t="str">
        <f>LEFT('Data-Collection'!Q8,1)</f>
        <v/>
      </c>
      <c r="R7" s="15" t="str">
        <f>LEFT('Data-Collection'!R8,1)</f>
        <v/>
      </c>
      <c r="S7" s="395"/>
      <c r="T7" s="395"/>
      <c r="U7" s="395"/>
    </row>
    <row r="8" spans="1:22" x14ac:dyDescent="0.2">
      <c r="A8" t="s">
        <v>406</v>
      </c>
      <c r="C8" s="15" t="str">
        <f>LEFT('Data-Collection'!C9,2)</f>
        <v/>
      </c>
      <c r="D8" s="15" t="str">
        <f>LEFT('Data-Collection'!D9,2)</f>
        <v/>
      </c>
      <c r="E8" s="15" t="str">
        <f>LEFT('Data-Collection'!E9,2)</f>
        <v/>
      </c>
      <c r="F8" s="15" t="str">
        <f>LEFT('Data-Collection'!F9,2)</f>
        <v/>
      </c>
      <c r="G8" s="15" t="str">
        <f>LEFT('Data-Collection'!G9,2)</f>
        <v/>
      </c>
      <c r="H8" s="15" t="str">
        <f>LEFT('Data-Collection'!H9,2)</f>
        <v/>
      </c>
      <c r="I8" s="15" t="str">
        <f>LEFT('Data-Collection'!I9,2)</f>
        <v/>
      </c>
      <c r="J8" s="15" t="str">
        <f>LEFT('Data-Collection'!J9,2)</f>
        <v/>
      </c>
      <c r="K8" s="15" t="str">
        <f>LEFT('Data-Collection'!K9,2)</f>
        <v/>
      </c>
      <c r="L8" s="15" t="str">
        <f>LEFT('Data-Collection'!L9,2)</f>
        <v/>
      </c>
      <c r="M8" s="15" t="str">
        <f>LEFT('Data-Collection'!M9,2)</f>
        <v/>
      </c>
      <c r="N8" s="15" t="str">
        <f>LEFT('Data-Collection'!N9,2)</f>
        <v/>
      </c>
      <c r="O8" s="15" t="str">
        <f>LEFT('Data-Collection'!O9,2)</f>
        <v/>
      </c>
      <c r="P8" s="15" t="str">
        <f>LEFT('Data-Collection'!P9,2)</f>
        <v/>
      </c>
      <c r="Q8" s="15" t="str">
        <f>LEFT('Data-Collection'!Q9,2)</f>
        <v/>
      </c>
      <c r="R8" s="15" t="str">
        <f>LEFT('Data-Collection'!R9,2)</f>
        <v/>
      </c>
      <c r="S8" s="395"/>
      <c r="T8" s="395"/>
      <c r="U8" s="395"/>
    </row>
    <row r="9" spans="1:22" x14ac:dyDescent="0.2">
      <c r="A9" s="17" t="s">
        <v>19</v>
      </c>
      <c r="C9" s="15"/>
      <c r="D9" s="15"/>
      <c r="E9" s="15"/>
      <c r="F9" s="15"/>
      <c r="G9" s="15"/>
      <c r="H9" s="15"/>
      <c r="I9" s="15"/>
      <c r="J9" s="15"/>
      <c r="K9" s="15"/>
      <c r="L9" s="15"/>
      <c r="M9" s="15"/>
      <c r="N9" s="15"/>
      <c r="O9" s="15"/>
      <c r="P9" s="15"/>
      <c r="Q9" s="15"/>
      <c r="R9" s="15"/>
      <c r="S9" s="395"/>
      <c r="T9" s="395"/>
      <c r="U9" s="395"/>
    </row>
    <row r="10" spans="1:22" x14ac:dyDescent="0.2">
      <c r="A10" s="27" t="s">
        <v>318</v>
      </c>
      <c r="B10" s="17"/>
      <c r="C10" s="15">
        <f>'Data-Collection'!C66</f>
        <v>0</v>
      </c>
      <c r="D10" s="15">
        <f>'Data-Collection'!D66</f>
        <v>0</v>
      </c>
      <c r="E10" s="15">
        <f>'Data-Collection'!E66</f>
        <v>0</v>
      </c>
      <c r="F10" s="15">
        <f>'Data-Collection'!F66</f>
        <v>0</v>
      </c>
      <c r="G10" s="15">
        <f>'Data-Collection'!G66</f>
        <v>0</v>
      </c>
      <c r="H10" s="15">
        <f>'Data-Collection'!H66</f>
        <v>0</v>
      </c>
      <c r="I10" s="15">
        <f>'Data-Collection'!I66</f>
        <v>0</v>
      </c>
      <c r="J10" s="15">
        <f>'Data-Collection'!J66</f>
        <v>0</v>
      </c>
      <c r="K10" s="15">
        <f>'Data-Collection'!K66</f>
        <v>0</v>
      </c>
      <c r="L10" s="15">
        <f>'Data-Collection'!L66</f>
        <v>0</v>
      </c>
      <c r="M10" s="15">
        <f>'Data-Collection'!M66</f>
        <v>0</v>
      </c>
      <c r="N10" s="15">
        <f>'Data-Collection'!N66</f>
        <v>0</v>
      </c>
      <c r="O10" s="15">
        <f>'Data-Collection'!O66</f>
        <v>0</v>
      </c>
      <c r="P10" s="15">
        <f>'Data-Collection'!P66</f>
        <v>0</v>
      </c>
      <c r="Q10" s="15">
        <f>'Data-Collection'!Q66</f>
        <v>0</v>
      </c>
      <c r="R10" s="15">
        <f>'Data-Collection'!R66</f>
        <v>0</v>
      </c>
      <c r="S10" s="395"/>
      <c r="T10" s="395"/>
      <c r="U10" s="395"/>
    </row>
    <row r="11" spans="1:22" ht="13.5" thickBot="1" x14ac:dyDescent="0.25">
      <c r="A11" s="62" t="s">
        <v>441</v>
      </c>
      <c r="B11" s="67"/>
      <c r="C11" s="66">
        <f>'Data-Collection'!C68</f>
        <v>0</v>
      </c>
      <c r="D11" s="66">
        <f>'Data-Collection'!D68</f>
        <v>0</v>
      </c>
      <c r="E11" s="66">
        <f>'Data-Collection'!E68</f>
        <v>0</v>
      </c>
      <c r="F11" s="66">
        <f>'Data-Collection'!F68</f>
        <v>0</v>
      </c>
      <c r="G11" s="66">
        <f>'Data-Collection'!G68</f>
        <v>0</v>
      </c>
      <c r="H11" s="66">
        <f>'Data-Collection'!H68</f>
        <v>0</v>
      </c>
      <c r="I11" s="66">
        <f>'Data-Collection'!I68</f>
        <v>0</v>
      </c>
      <c r="J11" s="66">
        <f>'Data-Collection'!J68</f>
        <v>0</v>
      </c>
      <c r="K11" s="66">
        <f>'Data-Collection'!K68</f>
        <v>0</v>
      </c>
      <c r="L11" s="66">
        <f>'Data-Collection'!L68</f>
        <v>0</v>
      </c>
      <c r="M11" s="66">
        <f>'Data-Collection'!M68</f>
        <v>0</v>
      </c>
      <c r="N11" s="66">
        <f>'Data-Collection'!N68</f>
        <v>0</v>
      </c>
      <c r="O11" s="66">
        <f>'Data-Collection'!O68</f>
        <v>0</v>
      </c>
      <c r="P11" s="66">
        <f>'Data-Collection'!P68</f>
        <v>0</v>
      </c>
      <c r="Q11" s="66">
        <f>'Data-Collection'!Q68</f>
        <v>0</v>
      </c>
      <c r="R11" s="66">
        <f>'Data-Collection'!R68</f>
        <v>0</v>
      </c>
      <c r="S11" s="64"/>
      <c r="T11" s="64"/>
      <c r="U11" s="64"/>
    </row>
    <row r="12" spans="1:22" x14ac:dyDescent="0.2">
      <c r="A12" t="s">
        <v>300</v>
      </c>
      <c r="C12" s="15"/>
      <c r="D12" s="15"/>
      <c r="E12" s="15"/>
      <c r="F12" s="15"/>
      <c r="G12" s="15"/>
      <c r="H12" s="15"/>
      <c r="I12" s="15"/>
      <c r="J12" s="15"/>
      <c r="K12" s="15"/>
      <c r="L12" s="15"/>
      <c r="M12" s="15"/>
      <c r="N12" s="15"/>
      <c r="O12" s="15"/>
      <c r="P12" s="15"/>
      <c r="Q12" s="15"/>
      <c r="R12" s="15"/>
      <c r="S12" s="394" t="s">
        <v>81</v>
      </c>
      <c r="T12" s="394"/>
      <c r="U12" s="394"/>
    </row>
    <row r="13" spans="1:22" x14ac:dyDescent="0.2">
      <c r="C13" s="15"/>
      <c r="D13" s="15"/>
      <c r="E13" s="15"/>
      <c r="F13" s="15"/>
      <c r="G13" s="15"/>
      <c r="H13" s="15"/>
      <c r="I13" s="15"/>
      <c r="J13" s="15"/>
      <c r="K13" s="15"/>
      <c r="L13" s="15"/>
      <c r="M13" s="15"/>
      <c r="N13" s="15"/>
      <c r="O13" s="15"/>
      <c r="P13" s="15"/>
      <c r="Q13" s="15"/>
      <c r="R13" s="15"/>
      <c r="S13" s="61" t="s">
        <v>204</v>
      </c>
      <c r="T13" s="15" t="s">
        <v>205</v>
      </c>
      <c r="U13" s="15" t="s">
        <v>206</v>
      </c>
    </row>
    <row r="14" spans="1:22" x14ac:dyDescent="0.2">
      <c r="A14" s="26" t="s">
        <v>107</v>
      </c>
      <c r="B14" s="26"/>
      <c r="C14" s="25">
        <f>IF('Data-Collection'!C11=0,0,('Data-Collection'!C47 * 'Data-Collection'!C18/2000 + 'Data-Collection'!C48/2000 + 'Data-Collection'!C49))</f>
        <v>0</v>
      </c>
      <c r="D14" s="25">
        <f>IF('Data-Collection'!D11=0,0,('Data-Collection'!D47 * 'Data-Collection'!D18/2000 + 'Data-Collection'!D48/2000 + 'Data-Collection'!D49))</f>
        <v>0</v>
      </c>
      <c r="E14" s="25">
        <f>IF('Data-Collection'!E11=0,0,('Data-Collection'!E47 * 'Data-Collection'!E18/2000 + 'Data-Collection'!E48/2000 + 'Data-Collection'!E49))</f>
        <v>0</v>
      </c>
      <c r="F14" s="25">
        <f>IF('Data-Collection'!F11=0,0,('Data-Collection'!F47 * 'Data-Collection'!F18/2000 + 'Data-Collection'!F48/2000 + 'Data-Collection'!F49))</f>
        <v>0</v>
      </c>
      <c r="G14" s="25">
        <f>IF('Data-Collection'!G11=0,0,('Data-Collection'!G47 * 'Data-Collection'!G18/2000 + 'Data-Collection'!G48/2000 + 'Data-Collection'!G49))</f>
        <v>0</v>
      </c>
      <c r="H14" s="25">
        <f>IF('Data-Collection'!H11=0,0,('Data-Collection'!H47 * 'Data-Collection'!H18/2000 + 'Data-Collection'!H48/2000 + 'Data-Collection'!H49))</f>
        <v>0</v>
      </c>
      <c r="I14" s="25">
        <f>IF('Data-Collection'!I11=0,0,('Data-Collection'!I47 * 'Data-Collection'!I18/2000 + 'Data-Collection'!I48/2000 + 'Data-Collection'!I49))</f>
        <v>0</v>
      </c>
      <c r="J14" s="25">
        <f>IF('Data-Collection'!J11=0,0,('Data-Collection'!J47 * 'Data-Collection'!J18/2000 + 'Data-Collection'!J48/2000 + 'Data-Collection'!J49))</f>
        <v>0</v>
      </c>
      <c r="K14" s="25">
        <f>IF('Data-Collection'!K11=0,0,('Data-Collection'!K47 * 'Data-Collection'!K18/2000 + 'Data-Collection'!K48/2000 + 'Data-Collection'!K49))</f>
        <v>0</v>
      </c>
      <c r="L14" s="25">
        <f>IF('Data-Collection'!L11=0,0,('Data-Collection'!L47 * 'Data-Collection'!L18/2000 + 'Data-Collection'!L48/2000 + 'Data-Collection'!L49))</f>
        <v>0</v>
      </c>
      <c r="M14" s="25">
        <f>IF('Data-Collection'!M11=0,0,('Data-Collection'!M47 * 'Data-Collection'!M18/2000 + 'Data-Collection'!M48/2000 + 'Data-Collection'!M49))</f>
        <v>0</v>
      </c>
      <c r="N14" s="25">
        <f>IF('Data-Collection'!N11=0,0,('Data-Collection'!N47 * 'Data-Collection'!N18/2000 + 'Data-Collection'!N48/2000 + 'Data-Collection'!N49))</f>
        <v>0</v>
      </c>
      <c r="O14" s="25">
        <f>IF('Data-Collection'!O11=0,0,('Data-Collection'!O47 * 'Data-Collection'!O18/2000 + 'Data-Collection'!O48/2000 + 'Data-Collection'!O49))</f>
        <v>0</v>
      </c>
      <c r="P14" s="25">
        <f>IF('Data-Collection'!P11=0,0,('Data-Collection'!P47 * 'Data-Collection'!P18/2000 + 'Data-Collection'!P48/2000 + 'Data-Collection'!P49))</f>
        <v>0</v>
      </c>
      <c r="Q14" s="25">
        <f>IF('Data-Collection'!Q11=0,0,('Data-Collection'!Q47 * 'Data-Collection'!Q18/2000 + 'Data-Collection'!Q48/2000 + 'Data-Collection'!Q49))</f>
        <v>0</v>
      </c>
      <c r="R14" s="25">
        <f>IF('Data-Collection'!R11=0,0,('Data-Collection'!R47 * 'Data-Collection'!R18/2000 + 'Data-Collection'!R48/2000 + 'Data-Collection'!R49))</f>
        <v>0</v>
      </c>
      <c r="S14" s="60">
        <f>SUM(C14:R14)</f>
        <v>0</v>
      </c>
    </row>
    <row r="15" spans="1:22" x14ac:dyDescent="0.2">
      <c r="A15" s="26" t="s">
        <v>108</v>
      </c>
      <c r="B15" s="26"/>
      <c r="C15" s="25">
        <f>IF('Data-Collection'!C12=0,0,('Data-Collection'!C47 * 'Data-Collection'!C18/2000 + 'Data-Collection'!C48/2000 + 'Data-Collection'!C49))</f>
        <v>0</v>
      </c>
      <c r="D15" s="25">
        <f>IF('Data-Collection'!D12=0,0,('Data-Collection'!D47 * 'Data-Collection'!D18/2000 + 'Data-Collection'!D48/2000 + 'Data-Collection'!D49))</f>
        <v>0</v>
      </c>
      <c r="E15" s="25">
        <f>IF('Data-Collection'!E12=0,0,('Data-Collection'!E47 * 'Data-Collection'!E18/2000 + 'Data-Collection'!E48/2000 + 'Data-Collection'!E49))</f>
        <v>0</v>
      </c>
      <c r="F15" s="25">
        <f>IF('Data-Collection'!F12=0,0,('Data-Collection'!F47 * 'Data-Collection'!F18/2000 + 'Data-Collection'!F48/2000 + 'Data-Collection'!F49))</f>
        <v>0</v>
      </c>
      <c r="G15" s="25">
        <f>IF('Data-Collection'!G12=0,0,('Data-Collection'!G47 * 'Data-Collection'!G18/2000 + 'Data-Collection'!G48/2000 + 'Data-Collection'!G49))</f>
        <v>0</v>
      </c>
      <c r="H15" s="25">
        <f>IF('Data-Collection'!H12=0,0,('Data-Collection'!H47 * 'Data-Collection'!H18/2000 + 'Data-Collection'!H48/2000 + 'Data-Collection'!H49))</f>
        <v>0</v>
      </c>
      <c r="I15" s="25">
        <f>IF('Data-Collection'!I12=0,0,('Data-Collection'!I47 * 'Data-Collection'!I18/2000 + 'Data-Collection'!I48/2000 + 'Data-Collection'!I49))</f>
        <v>0</v>
      </c>
      <c r="J15" s="25">
        <f>IF('Data-Collection'!J12=0,0,('Data-Collection'!J47 * 'Data-Collection'!J18/2000 + 'Data-Collection'!J48/2000 + 'Data-Collection'!J49))</f>
        <v>0</v>
      </c>
      <c r="K15" s="25">
        <f>IF('Data-Collection'!K12=0,0,('Data-Collection'!K47 * 'Data-Collection'!K18/2000 + 'Data-Collection'!K48/2000 + 'Data-Collection'!K49))</f>
        <v>0</v>
      </c>
      <c r="L15" s="25">
        <f>IF('Data-Collection'!L12=0,0,('Data-Collection'!L47 * 'Data-Collection'!L18/2000 + 'Data-Collection'!L48/2000 + 'Data-Collection'!L49))</f>
        <v>0</v>
      </c>
      <c r="M15" s="25">
        <f>IF('Data-Collection'!M12=0,0,('Data-Collection'!M47 * 'Data-Collection'!M18/2000 + 'Data-Collection'!M48/2000 + 'Data-Collection'!M49))</f>
        <v>0</v>
      </c>
      <c r="N15" s="25">
        <f>IF('Data-Collection'!N12=0,0,('Data-Collection'!N47 * 'Data-Collection'!N18/2000 + 'Data-Collection'!N48/2000 + 'Data-Collection'!N49))</f>
        <v>0</v>
      </c>
      <c r="O15" s="25">
        <f>IF('Data-Collection'!O12=0,0,('Data-Collection'!O47 * 'Data-Collection'!O18/2000 + 'Data-Collection'!O48/2000 + 'Data-Collection'!O49))</f>
        <v>0</v>
      </c>
      <c r="P15" s="25">
        <f>IF('Data-Collection'!P12=0,0,('Data-Collection'!P47 * 'Data-Collection'!P18/2000 + 'Data-Collection'!P48/2000 + 'Data-Collection'!P49))</f>
        <v>0</v>
      </c>
      <c r="Q15" s="25">
        <f>IF('Data-Collection'!Q12=0,0,('Data-Collection'!Q47 * 'Data-Collection'!Q18/2000 + 'Data-Collection'!Q48/2000 + 'Data-Collection'!Q49))</f>
        <v>0</v>
      </c>
      <c r="R15" s="25">
        <f>IF('Data-Collection'!R12=0,0,('Data-Collection'!R47 * 'Data-Collection'!R18/2000 + 'Data-Collection'!R48/2000 + 'Data-Collection'!R49))</f>
        <v>0</v>
      </c>
      <c r="S15" s="60"/>
      <c r="T15" s="84">
        <f>SUM(C15:R15)</f>
        <v>0</v>
      </c>
      <c r="V15" s="16"/>
    </row>
    <row r="16" spans="1:22" x14ac:dyDescent="0.2">
      <c r="A16" s="26"/>
      <c r="B16" s="26"/>
      <c r="C16" s="25"/>
      <c r="D16" s="25"/>
      <c r="E16" s="25"/>
      <c r="F16" s="25"/>
      <c r="G16" s="25"/>
      <c r="H16" s="25"/>
      <c r="I16" s="25"/>
      <c r="J16" s="25"/>
      <c r="K16" s="25"/>
      <c r="L16" s="25"/>
      <c r="M16" s="25"/>
      <c r="N16" s="25"/>
      <c r="O16" s="25"/>
      <c r="P16" s="25"/>
      <c r="Q16" s="25"/>
      <c r="R16" s="25"/>
      <c r="S16" s="60"/>
      <c r="T16" s="84"/>
      <c r="U16" s="16">
        <f>S14+T15</f>
        <v>0</v>
      </c>
      <c r="V16" s="16"/>
    </row>
    <row r="17" spans="1:21" x14ac:dyDescent="0.2">
      <c r="A17" s="3" t="s">
        <v>292</v>
      </c>
      <c r="C17" s="25">
        <f>'Data-Collection'!C$20 + 'Data-Collection'!C$21+ 'Data-Collection'!C$23</f>
        <v>0</v>
      </c>
      <c r="D17" s="25">
        <f>'Data-Collection'!D$20 + 'Data-Collection'!D$21+ 'Data-Collection'!D$23</f>
        <v>0</v>
      </c>
      <c r="E17" s="25">
        <f>'Data-Collection'!E$20 + 'Data-Collection'!E$21+ 'Data-Collection'!E$23</f>
        <v>0</v>
      </c>
      <c r="F17" s="25">
        <f>'Data-Collection'!F$20 + 'Data-Collection'!F$21+ 'Data-Collection'!F$23</f>
        <v>0</v>
      </c>
      <c r="G17" s="25">
        <f>'Data-Collection'!G$20 + 'Data-Collection'!G$21+ 'Data-Collection'!G$23</f>
        <v>0</v>
      </c>
      <c r="H17" s="25">
        <f>'Data-Collection'!H$20 + 'Data-Collection'!H$21+ 'Data-Collection'!H$23</f>
        <v>0</v>
      </c>
      <c r="I17" s="25">
        <f>'Data-Collection'!I$20 + 'Data-Collection'!I$21+ 'Data-Collection'!I$23</f>
        <v>0</v>
      </c>
      <c r="J17" s="25">
        <f>'Data-Collection'!J$20 + 'Data-Collection'!J$21+ 'Data-Collection'!J$23</f>
        <v>0</v>
      </c>
      <c r="K17" s="25">
        <f>'Data-Collection'!K$20 + 'Data-Collection'!K$21+ 'Data-Collection'!K$23</f>
        <v>0</v>
      </c>
      <c r="L17" s="25">
        <f>'Data-Collection'!L$20 + 'Data-Collection'!L$21+ 'Data-Collection'!L$23</f>
        <v>0</v>
      </c>
      <c r="M17" s="25">
        <f>'Data-Collection'!M$20 + 'Data-Collection'!M$21+ 'Data-Collection'!M$23</f>
        <v>0</v>
      </c>
      <c r="N17" s="25">
        <f>'Data-Collection'!N$20 + 'Data-Collection'!N$21+ 'Data-Collection'!N$23</f>
        <v>0</v>
      </c>
      <c r="O17" s="25">
        <f>'Data-Collection'!O$20 + 'Data-Collection'!O$21+ 'Data-Collection'!O$23</f>
        <v>0</v>
      </c>
      <c r="P17" s="25">
        <f>'Data-Collection'!P$20 + 'Data-Collection'!P$21+ 'Data-Collection'!P$23</f>
        <v>0</v>
      </c>
      <c r="Q17" s="25">
        <f>'Data-Collection'!Q$20 + 'Data-Collection'!Q$21+ 'Data-Collection'!Q$23</f>
        <v>0</v>
      </c>
      <c r="R17" s="25">
        <f>'Data-Collection'!R$20 + 'Data-Collection'!R$21+ 'Data-Collection'!R$23</f>
        <v>0</v>
      </c>
      <c r="S17" s="60"/>
    </row>
    <row r="18" spans="1:21" x14ac:dyDescent="0.2">
      <c r="A18" s="26" t="s">
        <v>110</v>
      </c>
      <c r="B18" s="26"/>
      <c r="C18" s="25">
        <f>'Data-Collection'!C38</f>
        <v>0</v>
      </c>
      <c r="D18" s="25">
        <f>'Data-Collection'!D38</f>
        <v>0</v>
      </c>
      <c r="E18" s="25">
        <f>'Data-Collection'!E38</f>
        <v>0</v>
      </c>
      <c r="F18" s="25">
        <f>'Data-Collection'!F38</f>
        <v>0</v>
      </c>
      <c r="G18" s="25">
        <f>'Data-Collection'!G38</f>
        <v>0</v>
      </c>
      <c r="H18" s="25">
        <f>'Data-Collection'!H38</f>
        <v>0</v>
      </c>
      <c r="I18" s="25">
        <f>'Data-Collection'!I38</f>
        <v>0</v>
      </c>
      <c r="J18" s="25">
        <f>'Data-Collection'!J38</f>
        <v>0</v>
      </c>
      <c r="K18" s="25">
        <f>'Data-Collection'!K38</f>
        <v>0</v>
      </c>
      <c r="L18" s="25">
        <f>'Data-Collection'!L38</f>
        <v>0</v>
      </c>
      <c r="M18" s="25">
        <f>'Data-Collection'!M38</f>
        <v>0</v>
      </c>
      <c r="N18" s="25">
        <f>'Data-Collection'!N38</f>
        <v>0</v>
      </c>
      <c r="O18" s="25">
        <f>'Data-Collection'!O38</f>
        <v>0</v>
      </c>
      <c r="P18" s="25">
        <f>'Data-Collection'!P38</f>
        <v>0</v>
      </c>
      <c r="Q18" s="25">
        <f>'Data-Collection'!Q38</f>
        <v>0</v>
      </c>
      <c r="R18" s="25">
        <f>'Data-Collection'!R38</f>
        <v>0</v>
      </c>
      <c r="S18" s="60"/>
    </row>
    <row r="19" spans="1:21" x14ac:dyDescent="0.2">
      <c r="A19" s="26" t="s">
        <v>109</v>
      </c>
      <c r="B19" s="26"/>
      <c r="C19" s="25">
        <f>'Data-Collection'!C$43</f>
        <v>0</v>
      </c>
      <c r="D19" s="25">
        <f>'Data-Collection'!D$43</f>
        <v>0</v>
      </c>
      <c r="E19" s="25">
        <f>'Data-Collection'!E$43</f>
        <v>0</v>
      </c>
      <c r="F19" s="25">
        <f>'Data-Collection'!F$43</f>
        <v>0</v>
      </c>
      <c r="G19" s="25">
        <f>'Data-Collection'!G$43</f>
        <v>0</v>
      </c>
      <c r="H19" s="25">
        <f>'Data-Collection'!H$43</f>
        <v>0</v>
      </c>
      <c r="I19" s="25">
        <f>'Data-Collection'!I$43</f>
        <v>0</v>
      </c>
      <c r="J19" s="25">
        <f>'Data-Collection'!J$43</f>
        <v>0</v>
      </c>
      <c r="K19" s="25">
        <f>'Data-Collection'!K$43</f>
        <v>0</v>
      </c>
      <c r="L19" s="25">
        <f>'Data-Collection'!L$43</f>
        <v>0</v>
      </c>
      <c r="M19" s="25">
        <f>'Data-Collection'!M$43</f>
        <v>0</v>
      </c>
      <c r="N19" s="25">
        <f>'Data-Collection'!N$43</f>
        <v>0</v>
      </c>
      <c r="O19" s="25">
        <f>'Data-Collection'!O$43</f>
        <v>0</v>
      </c>
      <c r="P19" s="25">
        <f>'Data-Collection'!P$43</f>
        <v>0</v>
      </c>
      <c r="Q19" s="25">
        <f>'Data-Collection'!Q$43</f>
        <v>0</v>
      </c>
      <c r="R19" s="25">
        <f>'Data-Collection'!R$43</f>
        <v>0</v>
      </c>
      <c r="S19" s="60"/>
      <c r="T19" s="16"/>
      <c r="U19" s="16"/>
    </row>
    <row r="20" spans="1:21" x14ac:dyDescent="0.2">
      <c r="A20" s="26" t="s">
        <v>317</v>
      </c>
      <c r="B20" s="26"/>
      <c r="C20" s="25">
        <f>'Data-Collection'!C$45</f>
        <v>0</v>
      </c>
      <c r="D20" s="25">
        <f>'Data-Collection'!D$45</f>
        <v>0</v>
      </c>
      <c r="E20" s="25">
        <f>'Data-Collection'!E$45</f>
        <v>0</v>
      </c>
      <c r="F20" s="25">
        <f>'Data-Collection'!F$45</f>
        <v>0</v>
      </c>
      <c r="G20" s="25">
        <f>'Data-Collection'!G$45</f>
        <v>0</v>
      </c>
      <c r="H20" s="25">
        <f>'Data-Collection'!H$45</f>
        <v>0</v>
      </c>
      <c r="I20" s="25">
        <f>'Data-Collection'!I$45</f>
        <v>0</v>
      </c>
      <c r="J20" s="25">
        <f>'Data-Collection'!J$45</f>
        <v>0</v>
      </c>
      <c r="K20" s="25">
        <f>'Data-Collection'!K$45</f>
        <v>0</v>
      </c>
      <c r="L20" s="25">
        <f>'Data-Collection'!L$45</f>
        <v>0</v>
      </c>
      <c r="M20" s="25">
        <f>'Data-Collection'!M$45</f>
        <v>0</v>
      </c>
      <c r="N20" s="25">
        <f>'Data-Collection'!N$45</f>
        <v>0</v>
      </c>
      <c r="O20" s="25">
        <f>'Data-Collection'!O$45</f>
        <v>0</v>
      </c>
      <c r="P20" s="25">
        <f>'Data-Collection'!P$45</f>
        <v>0</v>
      </c>
      <c r="Q20" s="25">
        <f>'Data-Collection'!Q$45</f>
        <v>0</v>
      </c>
      <c r="R20" s="25">
        <f>'Data-Collection'!R$45</f>
        <v>0</v>
      </c>
      <c r="S20" s="60"/>
      <c r="T20" s="16"/>
      <c r="U20" s="16"/>
    </row>
    <row r="21" spans="1:21" x14ac:dyDescent="0.2">
      <c r="A21" s="27" t="s">
        <v>299</v>
      </c>
      <c r="B21" s="27"/>
      <c r="C21" s="25">
        <f>'Data-Collection'!C61 * 'Data-Collection'!C56/2000 + 'Data-Collection'!C62/2000 + 'Data-Collection'!C63</f>
        <v>0</v>
      </c>
      <c r="D21" s="25">
        <f>'Data-Collection'!D61 * 'Data-Collection'!D56/2000 + 'Data-Collection'!D62/2000 + 'Data-Collection'!D63</f>
        <v>0</v>
      </c>
      <c r="E21" s="25">
        <f>'Data-Collection'!E61 * 'Data-Collection'!E56/2000 + 'Data-Collection'!E62/2000 + 'Data-Collection'!E63</f>
        <v>0</v>
      </c>
      <c r="F21" s="25">
        <f>'Data-Collection'!F61 * 'Data-Collection'!F56/2000 + 'Data-Collection'!F62/2000 + 'Data-Collection'!F63</f>
        <v>0</v>
      </c>
      <c r="G21" s="25">
        <f>'Data-Collection'!G61 * 'Data-Collection'!G56/2000 + 'Data-Collection'!G62/2000 + 'Data-Collection'!G63</f>
        <v>0</v>
      </c>
      <c r="H21" s="25">
        <f>'Data-Collection'!H61 * 'Data-Collection'!H56/2000 + 'Data-Collection'!H62/2000 + 'Data-Collection'!H63</f>
        <v>0</v>
      </c>
      <c r="I21" s="25">
        <f>'Data-Collection'!I61 * 'Data-Collection'!I56/2000 + 'Data-Collection'!I62/2000 + 'Data-Collection'!I63</f>
        <v>0</v>
      </c>
      <c r="J21" s="25">
        <f>'Data-Collection'!J61 * 'Data-Collection'!J56/2000 + 'Data-Collection'!J62/2000 + 'Data-Collection'!J63</f>
        <v>0</v>
      </c>
      <c r="K21" s="25">
        <f>'Data-Collection'!K61 * 'Data-Collection'!K56/2000 + 'Data-Collection'!K62/2000 + 'Data-Collection'!K63</f>
        <v>0</v>
      </c>
      <c r="L21" s="25">
        <f>'Data-Collection'!L61 * 'Data-Collection'!L56/2000 + 'Data-Collection'!L62/2000 + 'Data-Collection'!L63</f>
        <v>0</v>
      </c>
      <c r="M21" s="25">
        <f>'Data-Collection'!M61 * 'Data-Collection'!M56/2000 + 'Data-Collection'!M62/2000 + 'Data-Collection'!M63</f>
        <v>0</v>
      </c>
      <c r="N21" s="25">
        <f>'Data-Collection'!N61 * 'Data-Collection'!N56/2000 + 'Data-Collection'!N62/2000 + 'Data-Collection'!N63</f>
        <v>0</v>
      </c>
      <c r="O21" s="25">
        <f>'Data-Collection'!O61 * 'Data-Collection'!O56/2000 + 'Data-Collection'!O62/2000 + 'Data-Collection'!O63</f>
        <v>0</v>
      </c>
      <c r="P21" s="25">
        <f>'Data-Collection'!P61 * 'Data-Collection'!P56/2000 + 'Data-Collection'!P62/2000 + 'Data-Collection'!P63</f>
        <v>0</v>
      </c>
      <c r="Q21" s="25">
        <f>'Data-Collection'!Q61 * 'Data-Collection'!Q56/2000 + 'Data-Collection'!Q62/2000 + 'Data-Collection'!Q63</f>
        <v>0</v>
      </c>
      <c r="R21" s="25">
        <f>'Data-Collection'!R61 * 'Data-Collection'!R56/2000 + 'Data-Collection'!R62/2000 + 'Data-Collection'!R63</f>
        <v>0</v>
      </c>
      <c r="S21" s="88">
        <f>SUM(C21:R21)</f>
        <v>0</v>
      </c>
      <c r="T21" s="86"/>
      <c r="U21" s="90"/>
    </row>
    <row r="22" spans="1:21" x14ac:dyDescent="0.2">
      <c r="A22" s="27" t="s">
        <v>197</v>
      </c>
      <c r="B22" s="27"/>
      <c r="C22" s="25">
        <f>'Data-Collection'!C$57</f>
        <v>0</v>
      </c>
      <c r="D22" s="25">
        <f>'Data-Collection'!D$57</f>
        <v>0</v>
      </c>
      <c r="E22" s="25">
        <f>'Data-Collection'!E$57</f>
        <v>0</v>
      </c>
      <c r="F22" s="25">
        <f>'Data-Collection'!F$57</f>
        <v>0</v>
      </c>
      <c r="G22" s="25">
        <f>'Data-Collection'!G$57</f>
        <v>0</v>
      </c>
      <c r="H22" s="25">
        <f>'Data-Collection'!H$57</f>
        <v>0</v>
      </c>
      <c r="I22" s="25">
        <f>'Data-Collection'!I$57</f>
        <v>0</v>
      </c>
      <c r="J22" s="25">
        <f>'Data-Collection'!J$57</f>
        <v>0</v>
      </c>
      <c r="K22" s="25">
        <f>'Data-Collection'!K$57</f>
        <v>0</v>
      </c>
      <c r="L22" s="25">
        <f>'Data-Collection'!L$57</f>
        <v>0</v>
      </c>
      <c r="M22" s="25">
        <f>'Data-Collection'!M$57</f>
        <v>0</v>
      </c>
      <c r="N22" s="25">
        <f>'Data-Collection'!N$57</f>
        <v>0</v>
      </c>
      <c r="O22" s="25">
        <f>'Data-Collection'!O$57</f>
        <v>0</v>
      </c>
      <c r="P22" s="25">
        <f>'Data-Collection'!P$57</f>
        <v>0</v>
      </c>
      <c r="Q22" s="25">
        <f>'Data-Collection'!Q$57</f>
        <v>0</v>
      </c>
      <c r="R22" s="25">
        <f>'Data-Collection'!R$57</f>
        <v>0</v>
      </c>
      <c r="S22" s="60"/>
    </row>
    <row r="23" spans="1:21" ht="13.5" thickBot="1" x14ac:dyDescent="0.25">
      <c r="A23" s="67"/>
      <c r="B23" s="67"/>
      <c r="C23" s="66"/>
      <c r="D23" s="66"/>
      <c r="E23" s="66"/>
      <c r="F23" s="66"/>
      <c r="G23" s="66"/>
      <c r="H23" s="66"/>
      <c r="I23" s="66"/>
      <c r="J23" s="66"/>
      <c r="K23" s="66"/>
      <c r="L23" s="66"/>
      <c r="M23" s="66"/>
      <c r="N23" s="66"/>
      <c r="O23" s="66"/>
      <c r="P23" s="66"/>
      <c r="Q23" s="66"/>
      <c r="R23" s="66"/>
      <c r="S23" s="64"/>
      <c r="T23" s="64"/>
      <c r="U23" s="64"/>
    </row>
    <row r="24" spans="1:21" x14ac:dyDescent="0.2">
      <c r="A24" t="s">
        <v>46</v>
      </c>
      <c r="B24" s="15" t="s">
        <v>201</v>
      </c>
      <c r="C24" s="15"/>
      <c r="D24" s="15"/>
      <c r="E24" s="15"/>
      <c r="F24" s="15"/>
      <c r="G24" s="15"/>
      <c r="H24" s="15"/>
      <c r="I24" s="15"/>
      <c r="J24" s="15"/>
      <c r="K24" s="15"/>
      <c r="L24" s="15"/>
      <c r="M24" s="15"/>
      <c r="N24" s="15"/>
      <c r="O24" s="15"/>
      <c r="P24" s="20"/>
      <c r="Q24" s="15"/>
      <c r="R24" s="20"/>
      <c r="S24" s="394" t="s">
        <v>326</v>
      </c>
      <c r="T24" s="394"/>
      <c r="U24" s="394"/>
    </row>
    <row r="25" spans="1:21" x14ac:dyDescent="0.2">
      <c r="A25" s="158" t="str">
        <f>'Data-Collection'!A19</f>
        <v>Materials that Polymerizes</v>
      </c>
      <c r="B25" s="15"/>
      <c r="C25" s="15"/>
      <c r="D25" s="15"/>
      <c r="E25" s="15"/>
      <c r="F25" s="15"/>
      <c r="G25" s="15"/>
      <c r="H25" s="15"/>
      <c r="I25" s="15"/>
      <c r="J25" s="15"/>
      <c r="K25" s="15"/>
      <c r="L25" s="15"/>
      <c r="M25" s="15"/>
      <c r="N25" s="15"/>
      <c r="O25" s="15"/>
      <c r="P25" s="20"/>
      <c r="Q25" s="15"/>
      <c r="R25" s="20"/>
      <c r="S25" s="397" t="s">
        <v>327</v>
      </c>
      <c r="T25" s="397"/>
      <c r="U25" s="397"/>
    </row>
    <row r="26" spans="1:21" x14ac:dyDescent="0.2">
      <c r="A26" s="15" t="s">
        <v>71</v>
      </c>
      <c r="B26" s="15"/>
      <c r="C26" s="15"/>
      <c r="D26" s="15"/>
      <c r="E26" s="15"/>
      <c r="F26" s="15"/>
      <c r="G26" s="15"/>
      <c r="H26" s="15"/>
      <c r="I26" s="15"/>
      <c r="J26" s="15"/>
      <c r="K26" s="15"/>
      <c r="L26" s="15"/>
      <c r="M26" s="15"/>
      <c r="N26" s="15"/>
      <c r="O26" s="15"/>
      <c r="P26" s="20"/>
      <c r="Q26" s="15"/>
      <c r="R26" s="20"/>
      <c r="S26" s="20"/>
      <c r="T26" s="20"/>
      <c r="U26" s="20"/>
    </row>
    <row r="27" spans="1:21" x14ac:dyDescent="0.2">
      <c r="A27" s="3" t="s">
        <v>66</v>
      </c>
      <c r="B27" s="3"/>
      <c r="C27" s="16">
        <f>IF(C14=0,0,(VLOOKUP(C7,Ems_Fac!$B$4:$AD$29,IF(C7&gt;="T",IF(C7&lt;"Z",IF(C17&lt;19,2,3), 2),IF(C17&lt;33,2,3)))))</f>
        <v>0</v>
      </c>
      <c r="D27" s="16">
        <f>IF(D14=0,0,(VLOOKUP(D7,Ems_Fac!$B$4:$AD$29,IF(D7&gt;="T",IF(D7&lt;"Z",IF(D17&lt;19,4,5), 4),IF(D17&lt;33,4,5)))))</f>
        <v>0</v>
      </c>
      <c r="E27" s="16">
        <f>IF(E14=0,0,(VLOOKUP(E7,Ems_Fac!$B$4:$AD$29,IF(E7&gt;="T",IF(E7&lt;"Z",IF(E17&lt;19,6,7), 6),IF(E17&lt;33,6,7)))))</f>
        <v>0</v>
      </c>
      <c r="F27" s="16">
        <f>IF(F14=0,0,(VLOOKUP(F7,Ems_Fac!$B$4:$AD$29,IF(F7&gt;="T",IF(F7&lt;"Z",IF(F17&lt;19,8,9), 8),IF(F17&lt;33,8,9)))))</f>
        <v>0</v>
      </c>
      <c r="G27" s="16">
        <f>IF(G14=0,0,(VLOOKUP(G7,Ems_Fac!$B$4:$AD$29,IF(G7&gt;="T",IF(G7&lt;"Z",IF(G17&lt;19,10,11), 10),IF(G17&lt;33,10,11)))))</f>
        <v>0</v>
      </c>
      <c r="H27" s="16">
        <f>IF(H14=0,0,(VLOOKUP(H7,Ems_Fac!$B$4:$AD$29,IF(H7&gt;="T",IF(H7&lt;"Z",IF(H17&lt;19,12,13), 12),IF(H17&lt;33,12,13)))))</f>
        <v>0</v>
      </c>
      <c r="I27" s="16">
        <f>IF(I14=0,0,(VLOOKUP(I7,Ems_Fac!$B$4:$AD$29,IF(I7&gt;="T",IF(I7&lt;"Z",IF(I17&lt;19,14,15), 14),IF(I17&lt;33,14,15)))))</f>
        <v>0</v>
      </c>
      <c r="J27" s="16">
        <f>IF(J14=0,0,(VLOOKUP(J7,Ems_Fac!$B$4:$AD$29,IF(J7&gt;="T",IF(J7&lt;"Z",IF(J17&lt;19,16,17), 16),IF(J17&lt;33,16,17)))))</f>
        <v>0</v>
      </c>
      <c r="K27" s="16">
        <f>IF(K14=0,0,(VLOOKUP(K7,Ems_Fac!$B$4:$AD$29,IF(K7&gt;="T",IF(K7&lt;"Z",IF(K17&lt;19,18,19), 18),IF(K17&lt;33,18,19)))))</f>
        <v>0</v>
      </c>
      <c r="L27" s="16">
        <f>IF(L14=0,0,(VLOOKUP(L7,Ems_Fac!$B$4:$AD$29,IF(L7&gt;="T",IF(L7&lt;"Z",IF(L17&lt;19,20,21), 20),IF(L17&lt;33,20,21)))))</f>
        <v>0</v>
      </c>
      <c r="M27" s="16">
        <f>IF(M14=0,0,(VLOOKUP(M7,Ems_Fac!$B$4:$AD$29,IF(M7&gt;="T",IF(M7&lt;"Z",IF(M17&lt;19,22,23), 22),IF(M17&lt;33,22,23)))))</f>
        <v>0</v>
      </c>
      <c r="N27" s="16">
        <f>IF(N14=0,0,(VLOOKUP(N7,Ems_Fac!$B$4:$AD$29,IF(N7&gt;="T",IF(N7&lt;"Z",IF(N17&lt;19,24,25), 24),IF(N17&lt;33,24,25)))))</f>
        <v>0</v>
      </c>
      <c r="O27" s="16">
        <f>IF(O14=0,0,(VLOOKUP(O7,Ems_Fac!$B$4:$AD$29,IF(O7&gt;="T",IF(O7&lt;"Z",IF(O17&lt;19,26,27), 26),IF(O17&lt;33,26,27)))))</f>
        <v>0</v>
      </c>
      <c r="P27" s="16">
        <f>IF(P14=0,0,(VLOOKUP(P7,Ems_Fac!$B$4:$AD$29,IF(P7&gt;="T",IF(P7&lt;"Z",IF(P17&lt;19,28,29), 28),IF(P17&lt;33,28,29)))))</f>
        <v>0</v>
      </c>
      <c r="Q27" s="16">
        <f>IF(Q14=0,0,(VLOOKUP(Q7,Ems_Fac!$B$4:$AD$29,IF(Q7&gt;="T",IF(Q7&lt;"Z",IF(Q17&lt;19,26,27), 26),IF(Q17&lt;33,26,27)))))</f>
        <v>0</v>
      </c>
      <c r="R27" s="16">
        <f>IF(R14=0,0,(VLOOKUP(R7,Ems_Fac!$B$4:$AD$29,IF(R7&gt;="T",IF(R7&lt;"Z",IF(R17&lt;19,28,29), 28),IF(R17&lt;33,28,29)))))</f>
        <v>0</v>
      </c>
      <c r="S27" s="398" t="e">
        <f>S65*2000/$U$16</f>
        <v>#DIV/0!</v>
      </c>
      <c r="T27" s="399"/>
      <c r="U27" s="399"/>
    </row>
    <row r="28" spans="1:21" x14ac:dyDescent="0.2">
      <c r="A28" s="3" t="s">
        <v>67</v>
      </c>
      <c r="B28" s="3"/>
      <c r="C28" s="16">
        <f t="shared" ref="C28:P28" si="0">C27*(1-C10/100)</f>
        <v>0</v>
      </c>
      <c r="D28" s="16">
        <f t="shared" si="0"/>
        <v>0</v>
      </c>
      <c r="E28" s="16">
        <f t="shared" si="0"/>
        <v>0</v>
      </c>
      <c r="F28" s="16">
        <f t="shared" si="0"/>
        <v>0</v>
      </c>
      <c r="G28" s="16">
        <f t="shared" si="0"/>
        <v>0</v>
      </c>
      <c r="H28" s="16">
        <f t="shared" si="0"/>
        <v>0</v>
      </c>
      <c r="I28" s="16">
        <f t="shared" si="0"/>
        <v>0</v>
      </c>
      <c r="J28" s="16">
        <f t="shared" si="0"/>
        <v>0</v>
      </c>
      <c r="K28" s="16">
        <f t="shared" si="0"/>
        <v>0</v>
      </c>
      <c r="L28" s="16">
        <f t="shared" si="0"/>
        <v>0</v>
      </c>
      <c r="M28" s="16">
        <f t="shared" si="0"/>
        <v>0</v>
      </c>
      <c r="N28" s="16">
        <f t="shared" si="0"/>
        <v>0</v>
      </c>
      <c r="O28" s="16">
        <f t="shared" si="0"/>
        <v>0</v>
      </c>
      <c r="P28" s="16">
        <f t="shared" si="0"/>
        <v>0</v>
      </c>
      <c r="Q28" s="16">
        <f>Q27*(1-Q10/100)</f>
        <v>0</v>
      </c>
      <c r="R28" s="16">
        <f>R27*(1-R10/100)</f>
        <v>0</v>
      </c>
      <c r="S28" s="398" t="e">
        <f>S66*2000/$U$16</f>
        <v>#DIV/0!</v>
      </c>
      <c r="T28" s="399"/>
      <c r="U28" s="399"/>
    </row>
    <row r="29" spans="1:21" x14ac:dyDescent="0.2">
      <c r="A29" s="15" t="s">
        <v>4</v>
      </c>
      <c r="B29" s="15"/>
      <c r="P29" s="10"/>
      <c r="R29" s="10"/>
      <c r="S29" s="10"/>
      <c r="T29" s="10"/>
      <c r="U29" s="10"/>
    </row>
    <row r="30" spans="1:21" x14ac:dyDescent="0.2">
      <c r="A30" s="3" t="s">
        <v>66</v>
      </c>
      <c r="B30" s="15">
        <v>100425</v>
      </c>
      <c r="C30" s="25">
        <f>IF(C$17=0,0,'Data-Collection'!C20/C17*C27)</f>
        <v>0</v>
      </c>
      <c r="D30" s="25">
        <f>IF(D$17=0,0,'Data-Collection'!D20/D17*D27)</f>
        <v>0</v>
      </c>
      <c r="E30" s="25">
        <f>IF(E$17=0,0,'Data-Collection'!E20/E17*E27)</f>
        <v>0</v>
      </c>
      <c r="F30" s="25">
        <f>IF(F$17=0,0,'Data-Collection'!F20/F17*F27)</f>
        <v>0</v>
      </c>
      <c r="G30" s="25">
        <f>IF(G$17=0,0,'Data-Collection'!G20/G17*G27)</f>
        <v>0</v>
      </c>
      <c r="H30" s="25">
        <f>IF(H$17=0,0,'Data-Collection'!H20/H17*H27)</f>
        <v>0</v>
      </c>
      <c r="I30" s="25">
        <f>IF(I$17=0,0,'Data-Collection'!I20/I17*I27)</f>
        <v>0</v>
      </c>
      <c r="J30" s="25">
        <f>IF(J$17=0,0,'Data-Collection'!J20/J17*J27)</f>
        <v>0</v>
      </c>
      <c r="K30" s="25">
        <f>IF(K$17=0,0,'Data-Collection'!K20/K17*K27)</f>
        <v>0</v>
      </c>
      <c r="L30" s="25">
        <f>IF(L$17=0,0,'Data-Collection'!L20/L17*L27)</f>
        <v>0</v>
      </c>
      <c r="M30" s="25">
        <f>IF(M$17=0,0,'Data-Collection'!M20/M17*M27)</f>
        <v>0</v>
      </c>
      <c r="N30" s="25">
        <f>IF(N$17=0,0,'Data-Collection'!N20/N17*N27)</f>
        <v>0</v>
      </c>
      <c r="O30" s="25">
        <f>IF(O$17=0,0,'Data-Collection'!O20/O17*O27)</f>
        <v>0</v>
      </c>
      <c r="P30" s="25">
        <f>IF(P$17=0,0,'Data-Collection'!P20/P17*P27)</f>
        <v>0</v>
      </c>
      <c r="Q30" s="25">
        <f>IF(Q$17=0,0,'Data-Collection'!Q20/Q17*Q27)</f>
        <v>0</v>
      </c>
      <c r="R30" s="25">
        <f>IF(R$17=0,0,'Data-Collection'!R20/R17*R27)</f>
        <v>0</v>
      </c>
      <c r="S30" s="398" t="e">
        <f>S68/$U$16</f>
        <v>#DIV/0!</v>
      </c>
      <c r="T30" s="399"/>
      <c r="U30" s="399"/>
    </row>
    <row r="31" spans="1:21" x14ac:dyDescent="0.2">
      <c r="A31" s="3" t="s">
        <v>67</v>
      </c>
      <c r="B31" s="3"/>
      <c r="C31" s="16">
        <f t="shared" ref="C31:P31" si="1">C30*(1-C10/100)</f>
        <v>0</v>
      </c>
      <c r="D31" s="16">
        <f t="shared" si="1"/>
        <v>0</v>
      </c>
      <c r="E31" s="16">
        <f t="shared" si="1"/>
        <v>0</v>
      </c>
      <c r="F31" s="16">
        <f t="shared" si="1"/>
        <v>0</v>
      </c>
      <c r="G31" s="16">
        <f t="shared" si="1"/>
        <v>0</v>
      </c>
      <c r="H31" s="16">
        <f t="shared" si="1"/>
        <v>0</v>
      </c>
      <c r="I31" s="16">
        <f t="shared" si="1"/>
        <v>0</v>
      </c>
      <c r="J31" s="16">
        <f t="shared" si="1"/>
        <v>0</v>
      </c>
      <c r="K31" s="16">
        <f t="shared" si="1"/>
        <v>0</v>
      </c>
      <c r="L31" s="16">
        <f t="shared" si="1"/>
        <v>0</v>
      </c>
      <c r="M31" s="16">
        <f t="shared" si="1"/>
        <v>0</v>
      </c>
      <c r="N31" s="16">
        <f t="shared" si="1"/>
        <v>0</v>
      </c>
      <c r="O31" s="16">
        <f t="shared" si="1"/>
        <v>0</v>
      </c>
      <c r="P31" s="16">
        <f t="shared" si="1"/>
        <v>0</v>
      </c>
      <c r="Q31" s="16">
        <f>Q30*(1-Q10/100)</f>
        <v>0</v>
      </c>
      <c r="R31" s="16">
        <f>R30*(1-R10/100)</f>
        <v>0</v>
      </c>
      <c r="S31" s="398" t="e">
        <f>S69/$U$16</f>
        <v>#DIV/0!</v>
      </c>
      <c r="T31" s="399"/>
      <c r="U31" s="399"/>
    </row>
    <row r="32" spans="1:21" x14ac:dyDescent="0.2">
      <c r="A32" s="20" t="s">
        <v>5</v>
      </c>
      <c r="B32" s="20">
        <v>80628</v>
      </c>
      <c r="C32" s="27"/>
      <c r="D32" s="27"/>
      <c r="E32" s="27"/>
      <c r="F32" s="27"/>
      <c r="G32" s="27"/>
      <c r="H32" s="27"/>
      <c r="I32" s="27"/>
      <c r="J32" s="27"/>
      <c r="K32" s="27"/>
      <c r="L32" s="27"/>
      <c r="M32" s="27"/>
      <c r="N32" s="27"/>
      <c r="O32" s="27"/>
      <c r="P32" s="10"/>
      <c r="Q32" s="27"/>
      <c r="R32" s="10"/>
      <c r="S32" s="10"/>
      <c r="T32" s="10"/>
      <c r="U32" s="10"/>
    </row>
    <row r="33" spans="1:21" x14ac:dyDescent="0.2">
      <c r="A33" s="3" t="s">
        <v>66</v>
      </c>
      <c r="B33" s="3"/>
      <c r="C33" s="25">
        <f>IF(C$17=0,0,'Data-Collection'!C21/C17*C27)</f>
        <v>0</v>
      </c>
      <c r="D33" s="25">
        <f>IF(D$17=0,0,'Data-Collection'!D21/D17*D27)</f>
        <v>0</v>
      </c>
      <c r="E33" s="25">
        <f>IF(E$17=0,0,'Data-Collection'!E21/E17*E27)</f>
        <v>0</v>
      </c>
      <c r="F33" s="25">
        <f>IF(F$17=0,0,'Data-Collection'!F21/F17*F27)</f>
        <v>0</v>
      </c>
      <c r="G33" s="25">
        <f>IF(G$17=0,0,'Data-Collection'!G21/G17*G27)</f>
        <v>0</v>
      </c>
      <c r="H33" s="25">
        <f>IF(H$17=0,0,'Data-Collection'!H21/H17*H27)</f>
        <v>0</v>
      </c>
      <c r="I33" s="25">
        <f>IF(I$17=0,0,'Data-Collection'!I21/I17*I27)</f>
        <v>0</v>
      </c>
      <c r="J33" s="25">
        <f>IF(J$17=0,0,'Data-Collection'!J21/J17*J27)</f>
        <v>0</v>
      </c>
      <c r="K33" s="25">
        <f>IF(K$17=0,0,'Data-Collection'!K21/K17*K27)</f>
        <v>0</v>
      </c>
      <c r="L33" s="25">
        <f>IF(L$17=0,0,'Data-Collection'!L21/L17*L27)</f>
        <v>0</v>
      </c>
      <c r="M33" s="25">
        <f>IF(M$17=0,0,'Data-Collection'!M21/M17*M27)</f>
        <v>0</v>
      </c>
      <c r="N33" s="25">
        <f>IF(N$17=0,0,'Data-Collection'!N21/N17*N27)</f>
        <v>0</v>
      </c>
      <c r="O33" s="25">
        <f>IF(O$17=0,0,'Data-Collection'!O21/O17*O27)</f>
        <v>0</v>
      </c>
      <c r="P33" s="25">
        <f>IF(P$17=0,0,'Data-Collection'!P21/$C$17*P27)</f>
        <v>0</v>
      </c>
      <c r="Q33" s="25">
        <f>IF(Q$17=0,0,'Data-Collection'!Q21/Q17*Q27)</f>
        <v>0</v>
      </c>
      <c r="R33" s="25">
        <f>IF(R$17=0,0,'Data-Collection'!R21/$C$17*R27)</f>
        <v>0</v>
      </c>
      <c r="S33" s="398" t="e">
        <f>S71/$U$16</f>
        <v>#DIV/0!</v>
      </c>
      <c r="T33" s="399"/>
      <c r="U33" s="399"/>
    </row>
    <row r="34" spans="1:21" x14ac:dyDescent="0.2">
      <c r="A34" s="3" t="s">
        <v>67</v>
      </c>
      <c r="B34" s="3"/>
      <c r="C34" s="16">
        <f t="shared" ref="C34:P34" si="2">C33*(1-C10/100)</f>
        <v>0</v>
      </c>
      <c r="D34" s="16">
        <f t="shared" si="2"/>
        <v>0</v>
      </c>
      <c r="E34" s="16">
        <f t="shared" si="2"/>
        <v>0</v>
      </c>
      <c r="F34" s="16">
        <f t="shared" si="2"/>
        <v>0</v>
      </c>
      <c r="G34" s="16">
        <f t="shared" si="2"/>
        <v>0</v>
      </c>
      <c r="H34" s="16">
        <f t="shared" si="2"/>
        <v>0</v>
      </c>
      <c r="I34" s="16">
        <f t="shared" si="2"/>
        <v>0</v>
      </c>
      <c r="J34" s="16">
        <f t="shared" si="2"/>
        <v>0</v>
      </c>
      <c r="K34" s="16">
        <f t="shared" si="2"/>
        <v>0</v>
      </c>
      <c r="L34" s="16">
        <f t="shared" si="2"/>
        <v>0</v>
      </c>
      <c r="M34" s="16">
        <f t="shared" si="2"/>
        <v>0</v>
      </c>
      <c r="N34" s="16">
        <f t="shared" si="2"/>
        <v>0</v>
      </c>
      <c r="O34" s="16">
        <f t="shared" si="2"/>
        <v>0</v>
      </c>
      <c r="P34" s="16">
        <f t="shared" si="2"/>
        <v>0</v>
      </c>
      <c r="Q34" s="16">
        <f>Q33*(1-Q10/100)</f>
        <v>0</v>
      </c>
      <c r="R34" s="16">
        <f>R33*(1-R10/100)</f>
        <v>0</v>
      </c>
      <c r="S34" s="398" t="e">
        <f>S72/$U$16</f>
        <v>#DIV/0!</v>
      </c>
      <c r="T34" s="399"/>
      <c r="U34" s="399"/>
    </row>
    <row r="35" spans="1:21" x14ac:dyDescent="0.2">
      <c r="A35" s="20" t="s">
        <v>407</v>
      </c>
      <c r="B35" s="3"/>
      <c r="C35" s="16"/>
      <c r="D35" s="16"/>
      <c r="E35" s="16"/>
      <c r="F35" s="16"/>
      <c r="G35" s="16"/>
      <c r="H35" s="16"/>
      <c r="I35" s="16"/>
      <c r="J35" s="16"/>
      <c r="K35" s="16"/>
      <c r="L35" s="16"/>
      <c r="M35" s="16"/>
      <c r="N35" s="16"/>
      <c r="O35" s="16"/>
      <c r="P35" s="10"/>
      <c r="Q35" s="16"/>
      <c r="R35" s="10"/>
      <c r="S35" s="10"/>
      <c r="T35" s="10"/>
      <c r="U35" s="10"/>
    </row>
    <row r="36" spans="1:21" x14ac:dyDescent="0.2">
      <c r="A36" s="3" t="s">
        <v>66</v>
      </c>
      <c r="B36" s="3"/>
      <c r="C36" s="25">
        <f>IF(C$17=0,0,('Data-Collection'!C23+'Data-Collection'!C24)/C17*C27)</f>
        <v>0</v>
      </c>
      <c r="D36" s="25">
        <f>IF(D$17=0,0,('Data-Collection'!D23+'Data-Collection'!D24)/D17*D27)</f>
        <v>0</v>
      </c>
      <c r="E36" s="25">
        <f>IF(E$17=0,0,('Data-Collection'!E23+'Data-Collection'!E24)/E17*E27)</f>
        <v>0</v>
      </c>
      <c r="F36" s="25">
        <f>IF(F$17=0,0,('Data-Collection'!F23+'Data-Collection'!F24)/F17*F27)</f>
        <v>0</v>
      </c>
      <c r="G36" s="25">
        <f>IF(G$17=0,0,('Data-Collection'!G23+'Data-Collection'!G24)/G17*G27)</f>
        <v>0</v>
      </c>
      <c r="H36" s="25">
        <f>IF(H$17=0,0,('Data-Collection'!H23+'Data-Collection'!H24)/H17*H27)</f>
        <v>0</v>
      </c>
      <c r="I36" s="25">
        <f>IF(I$17=0,0,('Data-Collection'!I23+'Data-Collection'!I24)/I17*I27)</f>
        <v>0</v>
      </c>
      <c r="J36" s="25">
        <f>IF(J$17=0,0,('Data-Collection'!J23+'Data-Collection'!J24)/J17*J27)</f>
        <v>0</v>
      </c>
      <c r="K36" s="25">
        <f>IF(K$17=0,0,('Data-Collection'!K23+'Data-Collection'!K24)/K17*K27)</f>
        <v>0</v>
      </c>
      <c r="L36" s="25">
        <f>IF(L$17=0,0,('Data-Collection'!L23+'Data-Collection'!L24)/L17*L27)</f>
        <v>0</v>
      </c>
      <c r="M36" s="25">
        <f>IF(M$17=0,0,('Data-Collection'!M23+'Data-Collection'!M24)/M17*M27)</f>
        <v>0</v>
      </c>
      <c r="N36" s="25">
        <f>IF(N$17=0,0,('Data-Collection'!N23+'Data-Collection'!N24)/N17*N27)</f>
        <v>0</v>
      </c>
      <c r="O36" s="25">
        <f>IF(O$17=0,0,('Data-Collection'!O23+'Data-Collection'!O24)/O17*O27)</f>
        <v>0</v>
      </c>
      <c r="P36" s="25">
        <f>IF(P$17=0,0,'Data-Collection'!P23/$C$17*P27)</f>
        <v>0</v>
      </c>
      <c r="Q36" s="25">
        <f>IF(Q$17=0,0,'Data-Collection'!Q23/$C$17*Q27)</f>
        <v>0</v>
      </c>
      <c r="R36" s="25">
        <f>IF(R$17=0,0,'Data-Collection'!R23/$C$17*R27)</f>
        <v>0</v>
      </c>
      <c r="S36" s="398" t="e">
        <f>S74/$U$16</f>
        <v>#DIV/0!</v>
      </c>
      <c r="T36" s="399"/>
      <c r="U36" s="399"/>
    </row>
    <row r="37" spans="1:21" x14ac:dyDescent="0.2">
      <c r="A37" s="3" t="s">
        <v>67</v>
      </c>
      <c r="B37" s="3"/>
      <c r="C37" s="16">
        <f t="shared" ref="C37:P37" si="3">C36*(1-C10/100)</f>
        <v>0</v>
      </c>
      <c r="D37" s="16">
        <f t="shared" si="3"/>
        <v>0</v>
      </c>
      <c r="E37" s="16">
        <f t="shared" si="3"/>
        <v>0</v>
      </c>
      <c r="F37" s="16">
        <f t="shared" si="3"/>
        <v>0</v>
      </c>
      <c r="G37" s="16">
        <f t="shared" si="3"/>
        <v>0</v>
      </c>
      <c r="H37" s="16">
        <f t="shared" si="3"/>
        <v>0</v>
      </c>
      <c r="I37" s="16">
        <f t="shared" si="3"/>
        <v>0</v>
      </c>
      <c r="J37" s="16">
        <f t="shared" si="3"/>
        <v>0</v>
      </c>
      <c r="K37" s="16">
        <f t="shared" si="3"/>
        <v>0</v>
      </c>
      <c r="L37" s="16">
        <f t="shared" si="3"/>
        <v>0</v>
      </c>
      <c r="M37" s="16">
        <f t="shared" si="3"/>
        <v>0</v>
      </c>
      <c r="N37" s="16">
        <f t="shared" si="3"/>
        <v>0</v>
      </c>
      <c r="O37" s="16">
        <f t="shared" si="3"/>
        <v>0</v>
      </c>
      <c r="P37" s="16">
        <f t="shared" si="3"/>
        <v>0</v>
      </c>
      <c r="Q37" s="16">
        <f>Q36*(1-Q10/100)</f>
        <v>0</v>
      </c>
      <c r="R37" s="16">
        <f>R36*(1-R10/100)</f>
        <v>0</v>
      </c>
      <c r="S37" s="398" t="e">
        <f>S75/$U$16</f>
        <v>#DIV/0!</v>
      </c>
      <c r="T37" s="399"/>
      <c r="U37" s="399"/>
    </row>
    <row r="38" spans="1:21" x14ac:dyDescent="0.2">
      <c r="A38" s="20" t="s">
        <v>408</v>
      </c>
      <c r="B38" s="3"/>
      <c r="C38" s="16"/>
      <c r="D38" s="16"/>
      <c r="E38" s="16"/>
      <c r="F38" s="16"/>
      <c r="G38" s="16"/>
      <c r="H38" s="16"/>
      <c r="I38" s="16"/>
      <c r="J38" s="16"/>
      <c r="K38" s="16"/>
      <c r="L38" s="16"/>
      <c r="M38" s="16"/>
      <c r="N38" s="16"/>
      <c r="O38" s="16"/>
      <c r="P38" s="10"/>
      <c r="Q38" s="16"/>
      <c r="R38" s="10"/>
      <c r="S38" s="10"/>
      <c r="T38" s="10"/>
      <c r="U38" s="10"/>
    </row>
    <row r="39" spans="1:21" x14ac:dyDescent="0.2">
      <c r="A39" s="3" t="s">
        <v>66</v>
      </c>
      <c r="B39" s="3"/>
      <c r="C39" s="25">
        <f>IF(C$17=0,0,('Data-Collection'!C27+'Data-Collection'!C28)/C17*C27)</f>
        <v>0</v>
      </c>
      <c r="D39" s="25">
        <f>IF(D$17=0,0,('Data-Collection'!D27+'Data-Collection'!D28)/D17*D27)</f>
        <v>0</v>
      </c>
      <c r="E39" s="25">
        <f>IF(E$17=0,0,('Data-Collection'!E27+'Data-Collection'!E28)/E17*E27)</f>
        <v>0</v>
      </c>
      <c r="F39" s="25">
        <f>IF(F$17=0,0,('Data-Collection'!F27+'Data-Collection'!F28)/F17*F27)</f>
        <v>0</v>
      </c>
      <c r="G39" s="25">
        <f>IF(G$17=0,0,('Data-Collection'!G27+'Data-Collection'!G28)/G17*G27)</f>
        <v>0</v>
      </c>
      <c r="H39" s="25">
        <f>IF(H$17=0,0,('Data-Collection'!H27+'Data-Collection'!H28)/H17*H27)</f>
        <v>0</v>
      </c>
      <c r="I39" s="25">
        <f>IF(I$17=0,0,('Data-Collection'!I27+'Data-Collection'!I28)/I17*I27)</f>
        <v>0</v>
      </c>
      <c r="J39" s="25">
        <f>IF(J$17=0,0,('Data-Collection'!J27+'Data-Collection'!J28)/J17*J27)</f>
        <v>0</v>
      </c>
      <c r="K39" s="25">
        <f>IF(K$17=0,0,('Data-Collection'!K27+'Data-Collection'!K28)/K17*K27)</f>
        <v>0</v>
      </c>
      <c r="L39" s="25">
        <f>IF(L$17=0,0,('Data-Collection'!L27+'Data-Collection'!L28)/L17*L27)</f>
        <v>0</v>
      </c>
      <c r="M39" s="25">
        <f>IF(M$17=0,0,('Data-Collection'!M27+'Data-Collection'!M28)/M17*M27)</f>
        <v>0</v>
      </c>
      <c r="N39" s="25">
        <f>IF(N$17=0,0,('Data-Collection'!N27+'Data-Collection'!N28)/N17*N27)</f>
        <v>0</v>
      </c>
      <c r="O39" s="25">
        <f>IF(O$17=0,0,('Data-Collection'!O27+'Data-Collection'!O28)/O17*O27)</f>
        <v>0</v>
      </c>
      <c r="P39" s="25">
        <f>IF(P$17=0,0,('Data-Collection'!P27+'Data-Collection'!P28)/P17*P27)</f>
        <v>0</v>
      </c>
      <c r="Q39" s="25">
        <f>IF(Q$17=0,0,('Data-Collection'!Q27+'Data-Collection'!Q28)/Q17*Q27)</f>
        <v>0</v>
      </c>
      <c r="R39" s="25">
        <f>IF(R$17=0,0,('Data-Collection'!R27+'Data-Collection'!R28)/R17*R27)</f>
        <v>0</v>
      </c>
      <c r="S39" s="398" t="e">
        <f>S77/$U$16</f>
        <v>#DIV/0!</v>
      </c>
      <c r="T39" s="399"/>
      <c r="U39" s="399"/>
    </row>
    <row r="40" spans="1:21" x14ac:dyDescent="0.2">
      <c r="A40" s="3" t="s">
        <v>67</v>
      </c>
      <c r="B40" s="3"/>
      <c r="C40" s="16">
        <f t="shared" ref="C40:P40" si="4">C39*(1-C10/100)</f>
        <v>0</v>
      </c>
      <c r="D40" s="16">
        <f t="shared" si="4"/>
        <v>0</v>
      </c>
      <c r="E40" s="16">
        <f t="shared" si="4"/>
        <v>0</v>
      </c>
      <c r="F40" s="16">
        <f t="shared" si="4"/>
        <v>0</v>
      </c>
      <c r="G40" s="16">
        <f t="shared" si="4"/>
        <v>0</v>
      </c>
      <c r="H40" s="16">
        <f t="shared" si="4"/>
        <v>0</v>
      </c>
      <c r="I40" s="16">
        <f t="shared" si="4"/>
        <v>0</v>
      </c>
      <c r="J40" s="16">
        <f t="shared" si="4"/>
        <v>0</v>
      </c>
      <c r="K40" s="16">
        <f t="shared" si="4"/>
        <v>0</v>
      </c>
      <c r="L40" s="16">
        <f t="shared" si="4"/>
        <v>0</v>
      </c>
      <c r="M40" s="16">
        <f t="shared" si="4"/>
        <v>0</v>
      </c>
      <c r="N40" s="16">
        <f t="shared" si="4"/>
        <v>0</v>
      </c>
      <c r="O40" s="16">
        <f t="shared" si="4"/>
        <v>0</v>
      </c>
      <c r="P40" s="16">
        <f t="shared" si="4"/>
        <v>0</v>
      </c>
      <c r="Q40" s="16">
        <f>Q39*(1-Q10/100)</f>
        <v>0</v>
      </c>
      <c r="R40" s="16">
        <f>R39*(1-R10/100)</f>
        <v>0</v>
      </c>
      <c r="S40" s="398" t="e">
        <f>S78/$U$16</f>
        <v>#DIV/0!</v>
      </c>
      <c r="T40" s="399"/>
      <c r="U40" s="399"/>
    </row>
    <row r="41" spans="1:21" x14ac:dyDescent="0.2">
      <c r="A41" s="3"/>
      <c r="B41" s="3"/>
      <c r="C41" s="16"/>
      <c r="D41" s="16"/>
      <c r="E41" s="16"/>
      <c r="F41" s="16"/>
      <c r="G41" s="16"/>
      <c r="H41" s="16"/>
      <c r="I41" s="16"/>
      <c r="J41" s="16"/>
      <c r="K41" s="16"/>
      <c r="L41" s="16"/>
      <c r="M41" s="16"/>
      <c r="N41" s="16"/>
      <c r="O41" s="16"/>
      <c r="P41" s="10"/>
      <c r="Q41" s="16"/>
      <c r="R41" s="10"/>
      <c r="S41" s="10"/>
      <c r="T41" s="10"/>
      <c r="U41" s="10"/>
    </row>
    <row r="42" spans="1:21" x14ac:dyDescent="0.2">
      <c r="A42" s="158" t="str">
        <f>'Data-Collection'!A30</f>
        <v>Other VOC Substances (wt%)</v>
      </c>
      <c r="B42" s="3"/>
      <c r="C42" s="16"/>
      <c r="D42" s="16"/>
      <c r="E42" s="16"/>
      <c r="F42" s="16"/>
      <c r="G42" s="16"/>
      <c r="H42" s="16"/>
      <c r="I42" s="16"/>
      <c r="J42" s="16"/>
      <c r="K42" s="16"/>
      <c r="L42" s="16"/>
      <c r="M42" s="16"/>
      <c r="N42" s="16"/>
      <c r="O42" s="16"/>
      <c r="P42" s="10"/>
      <c r="Q42" s="16"/>
      <c r="R42" s="10"/>
      <c r="S42" s="10"/>
      <c r="T42" s="10"/>
      <c r="U42" s="10"/>
    </row>
    <row r="43" spans="1:21" x14ac:dyDescent="0.2">
      <c r="A43" s="20" t="s">
        <v>407</v>
      </c>
      <c r="B43" s="3"/>
      <c r="C43" s="16"/>
      <c r="D43" s="16"/>
      <c r="E43" s="16"/>
      <c r="F43" s="16"/>
      <c r="G43" s="16"/>
      <c r="H43" s="16"/>
      <c r="I43" s="16"/>
      <c r="J43" s="16"/>
      <c r="K43" s="16"/>
      <c r="L43" s="16"/>
      <c r="M43" s="16"/>
      <c r="N43" s="16"/>
      <c r="O43" s="16"/>
      <c r="P43" s="10"/>
      <c r="Q43" s="16"/>
      <c r="R43" s="10"/>
      <c r="S43" s="10"/>
      <c r="T43" s="10"/>
      <c r="U43" s="10"/>
    </row>
    <row r="44" spans="1:21" x14ac:dyDescent="0.2">
      <c r="A44" s="3" t="s">
        <v>66</v>
      </c>
      <c r="B44" s="3"/>
      <c r="C44" s="16">
        <f>(('Data-Collection'!C32+'Data-Collection'!C33)/100)*2000</f>
        <v>0</v>
      </c>
      <c r="D44" s="16">
        <f>(('Data-Collection'!D32+'Data-Collection'!D33)/100)*2000</f>
        <v>0</v>
      </c>
      <c r="E44" s="16">
        <f>(('Data-Collection'!E32+'Data-Collection'!E33)/100)*2000</f>
        <v>0</v>
      </c>
      <c r="F44" s="16">
        <f>(('Data-Collection'!F32+'Data-Collection'!F33)/100)*2000</f>
        <v>0</v>
      </c>
      <c r="G44" s="16">
        <f>(('Data-Collection'!G32+'Data-Collection'!G33)/100)*2000</f>
        <v>0</v>
      </c>
      <c r="H44" s="16">
        <f>(('Data-Collection'!H32+'Data-Collection'!H33)/100)*2000</f>
        <v>0</v>
      </c>
      <c r="I44" s="16">
        <f>(('Data-Collection'!I32+'Data-Collection'!I33)/100)*2000</f>
        <v>0</v>
      </c>
      <c r="J44" s="16">
        <f>(('Data-Collection'!J32+'Data-Collection'!J33)/100)*2000</f>
        <v>0</v>
      </c>
      <c r="K44" s="16">
        <f>(('Data-Collection'!K32+'Data-Collection'!K33)/100)*2000</f>
        <v>0</v>
      </c>
      <c r="L44" s="16">
        <f>(('Data-Collection'!L32+'Data-Collection'!L33)/100)*2000</f>
        <v>0</v>
      </c>
      <c r="M44" s="16">
        <f>(('Data-Collection'!M32+'Data-Collection'!M33)/100)*2000</f>
        <v>0</v>
      </c>
      <c r="N44" s="16">
        <f>(('Data-Collection'!N32+'Data-Collection'!N33)/100)*2000</f>
        <v>0</v>
      </c>
      <c r="O44" s="16">
        <f>(('Data-Collection'!O32+'Data-Collection'!O33)/100)*2000</f>
        <v>0</v>
      </c>
      <c r="P44" s="16">
        <f>(('Data-Collection'!P32+'Data-Collection'!P33)/100)*2000</f>
        <v>0</v>
      </c>
      <c r="Q44" s="16">
        <f>(('Data-Collection'!Q32+'Data-Collection'!Q33)/100)*2000</f>
        <v>0</v>
      </c>
      <c r="R44" s="16">
        <f>(('Data-Collection'!R32+'Data-Collection'!R33)/100)*2000</f>
        <v>0</v>
      </c>
      <c r="S44" s="398" t="e">
        <f>S82/$U$16</f>
        <v>#DIV/0!</v>
      </c>
      <c r="T44" s="399"/>
      <c r="U44" s="399"/>
    </row>
    <row r="45" spans="1:21" x14ac:dyDescent="0.2">
      <c r="A45" s="3" t="s">
        <v>67</v>
      </c>
      <c r="B45" s="3"/>
      <c r="C45" s="16">
        <f t="shared" ref="C45:P45" si="5">C44*(1-C10/100)</f>
        <v>0</v>
      </c>
      <c r="D45" s="16">
        <f t="shared" si="5"/>
        <v>0</v>
      </c>
      <c r="E45" s="16">
        <f t="shared" si="5"/>
        <v>0</v>
      </c>
      <c r="F45" s="16">
        <f t="shared" si="5"/>
        <v>0</v>
      </c>
      <c r="G45" s="16">
        <f t="shared" si="5"/>
        <v>0</v>
      </c>
      <c r="H45" s="16">
        <f t="shared" si="5"/>
        <v>0</v>
      </c>
      <c r="I45" s="16">
        <f t="shared" si="5"/>
        <v>0</v>
      </c>
      <c r="J45" s="16">
        <f t="shared" si="5"/>
        <v>0</v>
      </c>
      <c r="K45" s="16">
        <f t="shared" si="5"/>
        <v>0</v>
      </c>
      <c r="L45" s="16">
        <f t="shared" si="5"/>
        <v>0</v>
      </c>
      <c r="M45" s="16">
        <f t="shared" si="5"/>
        <v>0</v>
      </c>
      <c r="N45" s="16">
        <f t="shared" si="5"/>
        <v>0</v>
      </c>
      <c r="O45" s="16">
        <f t="shared" si="5"/>
        <v>0</v>
      </c>
      <c r="P45" s="16">
        <f t="shared" si="5"/>
        <v>0</v>
      </c>
      <c r="Q45" s="16">
        <f>Q44*(1-Q10/100)</f>
        <v>0</v>
      </c>
      <c r="R45" s="16">
        <f>R44*(1-R10/100)</f>
        <v>0</v>
      </c>
      <c r="S45" s="398" t="e">
        <f>S83/$U$16</f>
        <v>#DIV/0!</v>
      </c>
      <c r="T45" s="399"/>
      <c r="U45" s="399"/>
    </row>
    <row r="46" spans="1:21" x14ac:dyDescent="0.2">
      <c r="A46" s="20" t="s">
        <v>408</v>
      </c>
      <c r="B46" s="3"/>
      <c r="C46" s="16"/>
      <c r="D46" s="16"/>
      <c r="E46" s="16"/>
      <c r="F46" s="16"/>
      <c r="G46" s="16"/>
      <c r="H46" s="16"/>
      <c r="I46" s="16"/>
      <c r="J46" s="16"/>
      <c r="K46" s="16"/>
      <c r="L46" s="16"/>
      <c r="M46" s="16"/>
      <c r="N46" s="16"/>
      <c r="O46" s="16"/>
      <c r="P46" s="10"/>
      <c r="Q46" s="16"/>
      <c r="R46" s="10"/>
      <c r="S46" s="10"/>
      <c r="T46" s="10"/>
      <c r="U46" s="10"/>
    </row>
    <row r="47" spans="1:21" x14ac:dyDescent="0.2">
      <c r="A47" s="3" t="s">
        <v>66</v>
      </c>
      <c r="B47" s="3"/>
      <c r="C47" s="16">
        <f>(('Data-Collection'!C35+'Data-Collection'!C36)/100)*2000</f>
        <v>0</v>
      </c>
      <c r="D47" s="16">
        <f>(('Data-Collection'!D35+'Data-Collection'!D36)/100)*2000</f>
        <v>0</v>
      </c>
      <c r="E47" s="16">
        <f>(('Data-Collection'!E35+'Data-Collection'!E36)/100)*2000</f>
        <v>0</v>
      </c>
      <c r="F47" s="16">
        <f>(('Data-Collection'!F35+'Data-Collection'!F36)/100)*2000</f>
        <v>0</v>
      </c>
      <c r="G47" s="16">
        <f>(('Data-Collection'!G35+'Data-Collection'!G36)/100)*2000</f>
        <v>0</v>
      </c>
      <c r="H47" s="16">
        <f>(('Data-Collection'!H35+'Data-Collection'!H36)/100)*2000</f>
        <v>0</v>
      </c>
      <c r="I47" s="16">
        <f>(('Data-Collection'!I35+'Data-Collection'!I36)/100)*2000</f>
        <v>0</v>
      </c>
      <c r="J47" s="16">
        <f>(('Data-Collection'!J35+'Data-Collection'!J36)/100)*2000</f>
        <v>0</v>
      </c>
      <c r="K47" s="16">
        <f>(('Data-Collection'!K35+'Data-Collection'!K36)/100)*2000</f>
        <v>0</v>
      </c>
      <c r="L47" s="16">
        <f>(('Data-Collection'!L35+'Data-Collection'!L36)/100)*2000</f>
        <v>0</v>
      </c>
      <c r="M47" s="16">
        <f>(('Data-Collection'!M35+'Data-Collection'!M36)/100)*2000</f>
        <v>0</v>
      </c>
      <c r="N47" s="16">
        <f>(('Data-Collection'!N35+'Data-Collection'!N36)/100)*2000</f>
        <v>0</v>
      </c>
      <c r="O47" s="16">
        <f>(('Data-Collection'!O35+'Data-Collection'!O36)/100)*2000</f>
        <v>0</v>
      </c>
      <c r="P47" s="16">
        <f>(('Data-Collection'!P35+'Data-Collection'!P36)/100)*2000</f>
        <v>0</v>
      </c>
      <c r="Q47" s="16">
        <f>(('Data-Collection'!Q35+'Data-Collection'!Q36)/100)*2000</f>
        <v>0</v>
      </c>
      <c r="R47" s="16">
        <f>(('Data-Collection'!R35+'Data-Collection'!R36)/100)*2000</f>
        <v>0</v>
      </c>
      <c r="S47" s="398" t="e">
        <f>S85/$U$16</f>
        <v>#DIV/0!</v>
      </c>
      <c r="T47" s="399"/>
      <c r="U47" s="399"/>
    </row>
    <row r="48" spans="1:21" x14ac:dyDescent="0.2">
      <c r="A48" s="3" t="s">
        <v>67</v>
      </c>
      <c r="B48" s="3"/>
      <c r="C48" s="16">
        <f t="shared" ref="C48:P48" si="6">C47*(1-C10/100)</f>
        <v>0</v>
      </c>
      <c r="D48" s="16">
        <f t="shared" si="6"/>
        <v>0</v>
      </c>
      <c r="E48" s="16">
        <f t="shared" si="6"/>
        <v>0</v>
      </c>
      <c r="F48" s="16">
        <f t="shared" si="6"/>
        <v>0</v>
      </c>
      <c r="G48" s="16">
        <f t="shared" si="6"/>
        <v>0</v>
      </c>
      <c r="H48" s="16">
        <f t="shared" si="6"/>
        <v>0</v>
      </c>
      <c r="I48" s="16">
        <f t="shared" si="6"/>
        <v>0</v>
      </c>
      <c r="J48" s="16">
        <f t="shared" si="6"/>
        <v>0</v>
      </c>
      <c r="K48" s="16">
        <f t="shared" si="6"/>
        <v>0</v>
      </c>
      <c r="L48" s="16">
        <f t="shared" si="6"/>
        <v>0</v>
      </c>
      <c r="M48" s="16">
        <f t="shared" si="6"/>
        <v>0</v>
      </c>
      <c r="N48" s="16">
        <f t="shared" si="6"/>
        <v>0</v>
      </c>
      <c r="O48" s="16">
        <f t="shared" si="6"/>
        <v>0</v>
      </c>
      <c r="P48" s="16">
        <f t="shared" si="6"/>
        <v>0</v>
      </c>
      <c r="Q48" s="16">
        <f>Q47*(1-Q10/100)</f>
        <v>0</v>
      </c>
      <c r="R48" s="16">
        <f>R47*(1-R10/100)</f>
        <v>0</v>
      </c>
      <c r="S48" s="398" t="e">
        <f>S86/$U$16</f>
        <v>#DIV/0!</v>
      </c>
      <c r="T48" s="399"/>
      <c r="U48" s="399"/>
    </row>
    <row r="49" spans="1:21" x14ac:dyDescent="0.2">
      <c r="A49" s="158"/>
      <c r="B49" s="3"/>
      <c r="C49" s="16"/>
      <c r="D49" s="16"/>
      <c r="E49" s="16"/>
      <c r="F49" s="16"/>
      <c r="G49" s="16"/>
      <c r="H49" s="16"/>
      <c r="I49" s="16"/>
      <c r="J49" s="16"/>
      <c r="K49" s="16"/>
      <c r="L49" s="16"/>
      <c r="M49" s="16"/>
      <c r="N49" s="16"/>
      <c r="O49" s="16"/>
      <c r="P49" s="10"/>
      <c r="Q49" s="16"/>
      <c r="R49" s="10"/>
      <c r="S49" s="10"/>
      <c r="T49" s="10"/>
      <c r="U49" s="10"/>
    </row>
    <row r="50" spans="1:21" x14ac:dyDescent="0.2">
      <c r="A50" s="158" t="str">
        <f>'Data-Collection'!A39</f>
        <v>Exempt Volatiles (wt%) - Specify</v>
      </c>
      <c r="B50" s="3"/>
      <c r="C50" s="16"/>
      <c r="D50" s="16"/>
      <c r="E50" s="16"/>
      <c r="F50" s="16"/>
      <c r="G50" s="16"/>
      <c r="H50" s="16"/>
      <c r="I50" s="16"/>
      <c r="J50" s="16"/>
      <c r="K50" s="16"/>
      <c r="L50" s="16"/>
      <c r="M50" s="16"/>
      <c r="N50" s="16"/>
      <c r="O50" s="16"/>
      <c r="P50" s="10"/>
      <c r="Q50" s="16"/>
      <c r="R50" s="10"/>
      <c r="S50" s="10"/>
      <c r="T50" s="10"/>
      <c r="U50" s="10"/>
    </row>
    <row r="51" spans="1:21" x14ac:dyDescent="0.2">
      <c r="A51" s="3" t="s">
        <v>66</v>
      </c>
      <c r="B51" s="3"/>
      <c r="C51" s="16">
        <f>(('Data-Collection'!C40+'Data-Collection'!C41)/100)*2000</f>
        <v>0</v>
      </c>
      <c r="D51" s="16">
        <f>(('Data-Collection'!D40+'Data-Collection'!D41)/100)*2000</f>
        <v>0</v>
      </c>
      <c r="E51" s="16">
        <f>(('Data-Collection'!E40+'Data-Collection'!E41)/100)*2000</f>
        <v>0</v>
      </c>
      <c r="F51" s="16">
        <f>(('Data-Collection'!F40+'Data-Collection'!F41)/100)*2000</f>
        <v>0</v>
      </c>
      <c r="G51" s="16">
        <f>(('Data-Collection'!G40+'Data-Collection'!G41)/100)*2000</f>
        <v>0</v>
      </c>
      <c r="H51" s="16">
        <f>(('Data-Collection'!H40+'Data-Collection'!H41)/100)*2000</f>
        <v>0</v>
      </c>
      <c r="I51" s="16">
        <f>(('Data-Collection'!I40+'Data-Collection'!I41)/100)*2000</f>
        <v>0</v>
      </c>
      <c r="J51" s="16">
        <f>(('Data-Collection'!J40+'Data-Collection'!J41)/100)*2000</f>
        <v>0</v>
      </c>
      <c r="K51" s="16">
        <f>(('Data-Collection'!K40+'Data-Collection'!K41)/100)*2000</f>
        <v>0</v>
      </c>
      <c r="L51" s="16">
        <f>(('Data-Collection'!L40+'Data-Collection'!L41)/100)*2000</f>
        <v>0</v>
      </c>
      <c r="M51" s="16">
        <f>(('Data-Collection'!M40+'Data-Collection'!M41)/100)*2000</f>
        <v>0</v>
      </c>
      <c r="N51" s="16">
        <f>(('Data-Collection'!N40+'Data-Collection'!N41)/100)*2000</f>
        <v>0</v>
      </c>
      <c r="O51" s="16">
        <f>(('Data-Collection'!O40+'Data-Collection'!O41)/100)*2000</f>
        <v>0</v>
      </c>
      <c r="P51" s="16">
        <f>(('Data-Collection'!P40+'Data-Collection'!P41)/100)*2000</f>
        <v>0</v>
      </c>
      <c r="Q51" s="16">
        <f>(('Data-Collection'!Q40+'Data-Collection'!Q41)/100)*2000</f>
        <v>0</v>
      </c>
      <c r="R51" s="16">
        <f>(('Data-Collection'!R40+'Data-Collection'!R41)/100)*2000</f>
        <v>0</v>
      </c>
      <c r="S51" s="398" t="e">
        <f>S93/$U$16</f>
        <v>#DIV/0!</v>
      </c>
      <c r="T51" s="399"/>
      <c r="U51" s="399"/>
    </row>
    <row r="52" spans="1:21" x14ac:dyDescent="0.2">
      <c r="A52" s="3" t="s">
        <v>67</v>
      </c>
      <c r="B52" s="3"/>
      <c r="C52" s="16">
        <f t="shared" ref="C52:P52" si="7">C51*(1-C10/100)</f>
        <v>0</v>
      </c>
      <c r="D52" s="16">
        <f t="shared" si="7"/>
        <v>0</v>
      </c>
      <c r="E52" s="16">
        <f t="shared" si="7"/>
        <v>0</v>
      </c>
      <c r="F52" s="16">
        <f t="shared" si="7"/>
        <v>0</v>
      </c>
      <c r="G52" s="16">
        <f t="shared" si="7"/>
        <v>0</v>
      </c>
      <c r="H52" s="16">
        <f t="shared" si="7"/>
        <v>0</v>
      </c>
      <c r="I52" s="16">
        <f t="shared" si="7"/>
        <v>0</v>
      </c>
      <c r="J52" s="16">
        <f t="shared" si="7"/>
        <v>0</v>
      </c>
      <c r="K52" s="16">
        <f t="shared" si="7"/>
        <v>0</v>
      </c>
      <c r="L52" s="16">
        <f t="shared" si="7"/>
        <v>0</v>
      </c>
      <c r="M52" s="16">
        <f t="shared" si="7"/>
        <v>0</v>
      </c>
      <c r="N52" s="16">
        <f t="shared" si="7"/>
        <v>0</v>
      </c>
      <c r="O52" s="16">
        <f t="shared" si="7"/>
        <v>0</v>
      </c>
      <c r="P52" s="16">
        <f t="shared" si="7"/>
        <v>0</v>
      </c>
      <c r="Q52" s="16">
        <f>Q51*(1-Q10/100)</f>
        <v>0</v>
      </c>
      <c r="R52" s="16">
        <f>R51*(1-R10/100)</f>
        <v>0</v>
      </c>
      <c r="S52" s="398" t="e">
        <f>S94/$U$16</f>
        <v>#DIV/0!</v>
      </c>
      <c r="T52" s="399"/>
      <c r="U52" s="399"/>
    </row>
    <row r="53" spans="1:21" x14ac:dyDescent="0.2">
      <c r="A53" s="158"/>
      <c r="B53" s="3"/>
      <c r="C53" s="16"/>
      <c r="D53" s="16"/>
      <c r="E53" s="16"/>
      <c r="F53" s="16"/>
      <c r="G53" s="16"/>
      <c r="H53" s="16"/>
      <c r="I53" s="16"/>
      <c r="J53" s="16"/>
      <c r="K53" s="16"/>
      <c r="L53" s="16"/>
      <c r="M53" s="16"/>
      <c r="N53" s="16"/>
      <c r="O53" s="16"/>
      <c r="P53" s="10"/>
      <c r="Q53" s="16"/>
      <c r="R53" s="10"/>
      <c r="S53" s="10"/>
      <c r="T53" s="10"/>
      <c r="U53" s="10"/>
    </row>
    <row r="54" spans="1:21" x14ac:dyDescent="0.2">
      <c r="A54" s="158" t="str">
        <f>'Data-Collection'!A50</f>
        <v>Inert Mineral Filler</v>
      </c>
      <c r="B54" s="3"/>
      <c r="C54" s="16"/>
      <c r="D54" s="16"/>
      <c r="E54" s="16"/>
      <c r="F54" s="16"/>
      <c r="G54" s="16"/>
      <c r="H54" s="16"/>
      <c r="I54" s="16"/>
      <c r="J54" s="16"/>
      <c r="K54" s="16"/>
      <c r="L54" s="16"/>
      <c r="M54" s="16"/>
      <c r="N54" s="16"/>
      <c r="O54" s="16"/>
      <c r="P54" s="10"/>
      <c r="Q54" s="16"/>
      <c r="R54" s="10"/>
      <c r="S54" s="10"/>
      <c r="T54" s="10"/>
      <c r="U54" s="10"/>
    </row>
    <row r="55" spans="1:21" x14ac:dyDescent="0.2">
      <c r="A55" s="15" t="s">
        <v>194</v>
      </c>
      <c r="B55" s="15">
        <v>85101</v>
      </c>
      <c r="C55" s="16"/>
      <c r="D55" s="16"/>
      <c r="E55" s="16"/>
      <c r="F55" s="16"/>
      <c r="G55" s="16"/>
      <c r="H55" s="16"/>
      <c r="I55" s="16"/>
      <c r="J55" s="16"/>
      <c r="K55" s="16"/>
      <c r="L55" s="16"/>
      <c r="M55" s="16"/>
      <c r="N55" s="16"/>
      <c r="O55" s="16"/>
      <c r="P55" s="10"/>
      <c r="Q55" s="16"/>
      <c r="R55" s="10"/>
      <c r="S55" s="10"/>
      <c r="T55" s="10"/>
      <c r="U55" s="10"/>
    </row>
    <row r="56" spans="1:21" x14ac:dyDescent="0.2">
      <c r="A56" s="3" t="s">
        <v>66</v>
      </c>
      <c r="B56" s="3"/>
      <c r="C56" s="16">
        <f>'Data-Collection'!C58</f>
        <v>0</v>
      </c>
      <c r="D56" s="16">
        <f>'Data-Collection'!D58</f>
        <v>0</v>
      </c>
      <c r="E56" s="16">
        <f>'Data-Collection'!E58</f>
        <v>0</v>
      </c>
      <c r="F56" s="16">
        <f>'Data-Collection'!F58</f>
        <v>0</v>
      </c>
      <c r="G56" s="16">
        <f>'Data-Collection'!G58</f>
        <v>0</v>
      </c>
      <c r="H56" s="16">
        <f>'Data-Collection'!H58</f>
        <v>0</v>
      </c>
      <c r="I56" s="16">
        <f>'Data-Collection'!I58</f>
        <v>0</v>
      </c>
      <c r="J56" s="16">
        <f>'Data-Collection'!J58</f>
        <v>0</v>
      </c>
      <c r="K56" s="16">
        <f>'Data-Collection'!K58</f>
        <v>0</v>
      </c>
      <c r="L56" s="16">
        <f>'Data-Collection'!L58</f>
        <v>0</v>
      </c>
      <c r="M56" s="16">
        <f>'Data-Collection'!M58</f>
        <v>0</v>
      </c>
      <c r="N56" s="16">
        <f>'Data-Collection'!N58</f>
        <v>0</v>
      </c>
      <c r="O56" s="16">
        <f>'Data-Collection'!O58</f>
        <v>0</v>
      </c>
      <c r="P56" s="16">
        <f>'Data-Collection'!P58</f>
        <v>0</v>
      </c>
      <c r="Q56" s="16">
        <f>'Data-Collection'!Q58</f>
        <v>0</v>
      </c>
      <c r="R56" s="16">
        <f>'Data-Collection'!R58</f>
        <v>0</v>
      </c>
      <c r="S56" s="398" t="e">
        <f>S102*2000/$S$21</f>
        <v>#DIV/0!</v>
      </c>
      <c r="T56" s="399"/>
      <c r="U56" s="399"/>
    </row>
    <row r="57" spans="1:21" x14ac:dyDescent="0.2">
      <c r="A57" s="3" t="s">
        <v>67</v>
      </c>
      <c r="B57" s="3"/>
      <c r="C57" s="16">
        <f t="shared" ref="C57:P57" si="8">C56*(1-C11/100)</f>
        <v>0</v>
      </c>
      <c r="D57" s="16">
        <f t="shared" si="8"/>
        <v>0</v>
      </c>
      <c r="E57" s="16">
        <f t="shared" si="8"/>
        <v>0</v>
      </c>
      <c r="F57" s="16">
        <f t="shared" si="8"/>
        <v>0</v>
      </c>
      <c r="G57" s="16">
        <f t="shared" si="8"/>
        <v>0</v>
      </c>
      <c r="H57" s="16">
        <f t="shared" si="8"/>
        <v>0</v>
      </c>
      <c r="I57" s="16">
        <f t="shared" si="8"/>
        <v>0</v>
      </c>
      <c r="J57" s="16">
        <f t="shared" si="8"/>
        <v>0</v>
      </c>
      <c r="K57" s="16">
        <f t="shared" si="8"/>
        <v>0</v>
      </c>
      <c r="L57" s="16">
        <f t="shared" si="8"/>
        <v>0</v>
      </c>
      <c r="M57" s="16">
        <f t="shared" si="8"/>
        <v>0</v>
      </c>
      <c r="N57" s="16">
        <f t="shared" si="8"/>
        <v>0</v>
      </c>
      <c r="O57" s="16">
        <f t="shared" si="8"/>
        <v>0</v>
      </c>
      <c r="P57" s="16">
        <f t="shared" si="8"/>
        <v>0</v>
      </c>
      <c r="Q57" s="16">
        <f>Q56*(1-Q11/100)</f>
        <v>0</v>
      </c>
      <c r="R57" s="16">
        <f>R56*(1-R11/100)</f>
        <v>0</v>
      </c>
      <c r="S57" s="398" t="e">
        <f>S103*2000/$S$21</f>
        <v>#DIV/0!</v>
      </c>
      <c r="T57" s="399"/>
      <c r="U57" s="399"/>
    </row>
    <row r="58" spans="1:21" x14ac:dyDescent="0.2">
      <c r="A58" s="20" t="s">
        <v>198</v>
      </c>
      <c r="B58" s="20" t="s">
        <v>203</v>
      </c>
      <c r="C58" s="16"/>
      <c r="D58" s="16"/>
      <c r="E58" s="16"/>
      <c r="F58" s="16"/>
      <c r="G58" s="16"/>
      <c r="H58" s="16"/>
      <c r="I58" s="16"/>
      <c r="J58" s="16"/>
      <c r="K58" s="16"/>
      <c r="L58" s="16"/>
      <c r="M58" s="16"/>
      <c r="N58" s="16"/>
      <c r="O58" s="16"/>
      <c r="P58" s="16"/>
      <c r="Q58" s="16"/>
      <c r="R58" s="16"/>
      <c r="S58" s="10"/>
      <c r="T58" s="10"/>
      <c r="U58" s="10"/>
    </row>
    <row r="59" spans="1:21" x14ac:dyDescent="0.2">
      <c r="A59" s="3" t="s">
        <v>66</v>
      </c>
      <c r="B59" s="3"/>
      <c r="C59" s="85">
        <f>C56*'Data-Collection'!C57/100</f>
        <v>0</v>
      </c>
      <c r="D59" s="85">
        <f>D56*'Data-Collection'!D57/100</f>
        <v>0</v>
      </c>
      <c r="E59" s="85">
        <f>E56*'Data-Collection'!E57/100</f>
        <v>0</v>
      </c>
      <c r="F59" s="85">
        <f>F56*'Data-Collection'!F57/100</f>
        <v>0</v>
      </c>
      <c r="G59" s="85">
        <f>G56*'Data-Collection'!G57/100</f>
        <v>0</v>
      </c>
      <c r="H59" s="85">
        <f>H56*'Data-Collection'!H57/100</f>
        <v>0</v>
      </c>
      <c r="I59" s="85">
        <f>I56*'Data-Collection'!I57/100</f>
        <v>0</v>
      </c>
      <c r="J59" s="85">
        <f>J56*'Data-Collection'!J57/100</f>
        <v>0</v>
      </c>
      <c r="K59" s="85">
        <f>K56*'Data-Collection'!K57/100</f>
        <v>0</v>
      </c>
      <c r="L59" s="85">
        <f>L56*'Data-Collection'!L57/100</f>
        <v>0</v>
      </c>
      <c r="M59" s="85">
        <f>M56*'Data-Collection'!M57/100</f>
        <v>0</v>
      </c>
      <c r="N59" s="85">
        <f>N56*'Data-Collection'!N57/100</f>
        <v>0</v>
      </c>
      <c r="O59" s="85">
        <f>O56*'Data-Collection'!O57/100</f>
        <v>0</v>
      </c>
      <c r="P59" s="85">
        <f>P56*'Data-Collection'!P57/100</f>
        <v>0</v>
      </c>
      <c r="Q59" s="85">
        <f>Q56*'Data-Collection'!Q57/100</f>
        <v>0</v>
      </c>
      <c r="R59" s="85">
        <f>R56*'Data-Collection'!R57/100</f>
        <v>0</v>
      </c>
      <c r="S59" s="398" t="e">
        <f>S105/$S$21</f>
        <v>#DIV/0!</v>
      </c>
      <c r="T59" s="399"/>
      <c r="U59" s="399"/>
    </row>
    <row r="60" spans="1:21" x14ac:dyDescent="0.2">
      <c r="A60" s="3" t="s">
        <v>67</v>
      </c>
      <c r="B60" s="3"/>
      <c r="C60" s="85">
        <f t="shared" ref="C60:P60" si="9">C59*(1-C11/100)</f>
        <v>0</v>
      </c>
      <c r="D60" s="85">
        <f t="shared" si="9"/>
        <v>0</v>
      </c>
      <c r="E60" s="85">
        <f t="shared" si="9"/>
        <v>0</v>
      </c>
      <c r="F60" s="85">
        <f t="shared" si="9"/>
        <v>0</v>
      </c>
      <c r="G60" s="85">
        <f t="shared" si="9"/>
        <v>0</v>
      </c>
      <c r="H60" s="85">
        <f t="shared" si="9"/>
        <v>0</v>
      </c>
      <c r="I60" s="85">
        <f t="shared" si="9"/>
        <v>0</v>
      </c>
      <c r="J60" s="85">
        <f t="shared" si="9"/>
        <v>0</v>
      </c>
      <c r="K60" s="85">
        <f t="shared" si="9"/>
        <v>0</v>
      </c>
      <c r="L60" s="85">
        <f t="shared" si="9"/>
        <v>0</v>
      </c>
      <c r="M60" s="85">
        <f t="shared" si="9"/>
        <v>0</v>
      </c>
      <c r="N60" s="85">
        <f t="shared" si="9"/>
        <v>0</v>
      </c>
      <c r="O60" s="85">
        <f t="shared" si="9"/>
        <v>0</v>
      </c>
      <c r="P60" s="85">
        <f t="shared" si="9"/>
        <v>0</v>
      </c>
      <c r="Q60" s="85">
        <f>Q59*(1-Q11/100)</f>
        <v>0</v>
      </c>
      <c r="R60" s="85">
        <f>R59*(1-R11/100)</f>
        <v>0</v>
      </c>
      <c r="S60" s="398" t="e">
        <f>S106/$S$21</f>
        <v>#DIV/0!</v>
      </c>
      <c r="T60" s="399"/>
      <c r="U60" s="399"/>
    </row>
    <row r="61" spans="1:21" ht="13.5" thickBot="1" x14ac:dyDescent="0.25">
      <c r="A61" s="62"/>
      <c r="B61" s="62"/>
      <c r="C61" s="63"/>
      <c r="D61" s="63"/>
      <c r="E61" s="63"/>
      <c r="F61" s="63"/>
      <c r="G61" s="63"/>
      <c r="H61" s="63"/>
      <c r="I61" s="63"/>
      <c r="J61" s="63"/>
      <c r="K61" s="63"/>
      <c r="L61" s="63"/>
      <c r="M61" s="63"/>
      <c r="N61" s="63"/>
      <c r="O61" s="63"/>
      <c r="P61" s="10"/>
      <c r="Q61" s="63"/>
      <c r="R61" s="10"/>
      <c r="S61" s="10"/>
    </row>
    <row r="62" spans="1:21" x14ac:dyDescent="0.2">
      <c r="A62" t="s">
        <v>72</v>
      </c>
      <c r="C62" s="14"/>
      <c r="D62" s="14"/>
      <c r="E62" s="14"/>
      <c r="F62" s="14"/>
      <c r="G62" s="14"/>
      <c r="H62" s="14"/>
      <c r="I62" s="14"/>
      <c r="J62" s="14"/>
      <c r="K62" s="14"/>
      <c r="L62" s="14"/>
      <c r="M62" s="14"/>
      <c r="N62" s="14"/>
      <c r="O62" s="14"/>
      <c r="P62" s="174"/>
      <c r="Q62" s="14"/>
      <c r="R62" s="174"/>
      <c r="S62" s="394" t="s">
        <v>81</v>
      </c>
      <c r="T62" s="394"/>
      <c r="U62" s="394"/>
    </row>
    <row r="63" spans="1:21" x14ac:dyDescent="0.2">
      <c r="A63" s="158" t="str">
        <f>'Data-Collection'!A19</f>
        <v>Materials that Polymerizes</v>
      </c>
      <c r="B63" s="15"/>
      <c r="P63" s="10"/>
      <c r="R63" s="10"/>
      <c r="S63" s="20"/>
      <c r="T63" s="20"/>
      <c r="U63" s="20"/>
    </row>
    <row r="64" spans="1:21" x14ac:dyDescent="0.2">
      <c r="A64" s="15" t="s">
        <v>73</v>
      </c>
    </row>
    <row r="65" spans="1:21" x14ac:dyDescent="0.2">
      <c r="A65" s="3" t="s">
        <v>66</v>
      </c>
      <c r="B65" s="3"/>
      <c r="C65" s="16">
        <f t="shared" ref="C65:P65" si="10">IF(C$14=0,0,C$14*C27/2000)</f>
        <v>0</v>
      </c>
      <c r="D65" s="16">
        <f t="shared" si="10"/>
        <v>0</v>
      </c>
      <c r="E65" s="16">
        <f t="shared" si="10"/>
        <v>0</v>
      </c>
      <c r="F65" s="16">
        <f t="shared" si="10"/>
        <v>0</v>
      </c>
      <c r="G65" s="16">
        <f t="shared" si="10"/>
        <v>0</v>
      </c>
      <c r="H65" s="16">
        <f t="shared" si="10"/>
        <v>0</v>
      </c>
      <c r="I65" s="16">
        <f t="shared" si="10"/>
        <v>0</v>
      </c>
      <c r="J65" s="16">
        <f t="shared" si="10"/>
        <v>0</v>
      </c>
      <c r="K65" s="16">
        <f t="shared" si="10"/>
        <v>0</v>
      </c>
      <c r="L65" s="16">
        <f t="shared" si="10"/>
        <v>0</v>
      </c>
      <c r="M65" s="16">
        <f t="shared" si="10"/>
        <v>0</v>
      </c>
      <c r="N65" s="16">
        <f t="shared" si="10"/>
        <v>0</v>
      </c>
      <c r="O65" s="16">
        <f t="shared" si="10"/>
        <v>0</v>
      </c>
      <c r="P65" s="16">
        <f t="shared" si="10"/>
        <v>0</v>
      </c>
      <c r="Q65" s="16">
        <f>IF(Q$14=0,0,Q$14*Q27/2000)</f>
        <v>0</v>
      </c>
      <c r="R65" s="16">
        <f>IF(R$14=0,0,R$14*R27/2000)</f>
        <v>0</v>
      </c>
      <c r="S65" s="400">
        <f>SUM(C65:R65)</f>
        <v>0</v>
      </c>
      <c r="T65" s="401"/>
      <c r="U65" s="401"/>
    </row>
    <row r="66" spans="1:21" x14ac:dyDescent="0.2">
      <c r="A66" s="3" t="s">
        <v>67</v>
      </c>
      <c r="B66" s="3"/>
      <c r="C66" s="16">
        <f t="shared" ref="C66:P66" si="11">IF(C$14=0,0,C$14*C28/2000)</f>
        <v>0</v>
      </c>
      <c r="D66" s="16">
        <f t="shared" si="11"/>
        <v>0</v>
      </c>
      <c r="E66" s="16">
        <f t="shared" si="11"/>
        <v>0</v>
      </c>
      <c r="F66" s="16">
        <f t="shared" si="11"/>
        <v>0</v>
      </c>
      <c r="G66" s="16">
        <f t="shared" si="11"/>
        <v>0</v>
      </c>
      <c r="H66" s="16">
        <f t="shared" si="11"/>
        <v>0</v>
      </c>
      <c r="I66" s="16">
        <f t="shared" si="11"/>
        <v>0</v>
      </c>
      <c r="J66" s="16">
        <f t="shared" si="11"/>
        <v>0</v>
      </c>
      <c r="K66" s="16">
        <f t="shared" si="11"/>
        <v>0</v>
      </c>
      <c r="L66" s="16">
        <f t="shared" si="11"/>
        <v>0</v>
      </c>
      <c r="M66" s="16">
        <f t="shared" si="11"/>
        <v>0</v>
      </c>
      <c r="N66" s="16">
        <f t="shared" si="11"/>
        <v>0</v>
      </c>
      <c r="O66" s="16">
        <f t="shared" si="11"/>
        <v>0</v>
      </c>
      <c r="P66" s="16">
        <f t="shared" si="11"/>
        <v>0</v>
      </c>
      <c r="Q66" s="16">
        <f>IF(Q$14=0,0,Q$14*Q28/2000)</f>
        <v>0</v>
      </c>
      <c r="R66" s="16">
        <f>IF(R$14=0,0,R$14*R28/2000)</f>
        <v>0</v>
      </c>
      <c r="S66" s="400">
        <f>SUM(C66:R66)</f>
        <v>0</v>
      </c>
      <c r="T66" s="401"/>
      <c r="U66" s="401"/>
    </row>
    <row r="67" spans="1:21" x14ac:dyDescent="0.2">
      <c r="A67" s="15" t="s">
        <v>74</v>
      </c>
      <c r="B67" s="15">
        <v>100425</v>
      </c>
      <c r="C67" s="16"/>
      <c r="D67" s="16"/>
      <c r="E67" s="16"/>
      <c r="F67" s="16"/>
      <c r="G67" s="16"/>
      <c r="H67" s="16"/>
      <c r="I67" s="16"/>
      <c r="J67" s="16"/>
      <c r="K67" s="16"/>
      <c r="L67" s="16"/>
      <c r="M67" s="16"/>
      <c r="N67" s="16"/>
      <c r="O67" s="16"/>
      <c r="P67" s="10"/>
      <c r="Q67" s="16"/>
      <c r="R67" s="10"/>
      <c r="S67" s="10"/>
      <c r="T67" s="89"/>
      <c r="U67" s="89"/>
    </row>
    <row r="68" spans="1:21" x14ac:dyDescent="0.2">
      <c r="A68" s="3" t="s">
        <v>66</v>
      </c>
      <c r="B68" s="3"/>
      <c r="C68" s="28">
        <f t="shared" ref="C68:P68" si="12">IF(C$14=0,0,C$14*C30)</f>
        <v>0</v>
      </c>
      <c r="D68" s="28">
        <f t="shared" si="12"/>
        <v>0</v>
      </c>
      <c r="E68" s="28">
        <f t="shared" si="12"/>
        <v>0</v>
      </c>
      <c r="F68" s="28">
        <f t="shared" si="12"/>
        <v>0</v>
      </c>
      <c r="G68" s="28">
        <f t="shared" si="12"/>
        <v>0</v>
      </c>
      <c r="H68" s="28">
        <f t="shared" si="12"/>
        <v>0</v>
      </c>
      <c r="I68" s="28">
        <f t="shared" si="12"/>
        <v>0</v>
      </c>
      <c r="J68" s="28">
        <f t="shared" si="12"/>
        <v>0</v>
      </c>
      <c r="K68" s="28">
        <f t="shared" si="12"/>
        <v>0</v>
      </c>
      <c r="L68" s="28">
        <f t="shared" si="12"/>
        <v>0</v>
      </c>
      <c r="M68" s="28">
        <f t="shared" si="12"/>
        <v>0</v>
      </c>
      <c r="N68" s="28">
        <f t="shared" si="12"/>
        <v>0</v>
      </c>
      <c r="O68" s="28">
        <f t="shared" si="12"/>
        <v>0</v>
      </c>
      <c r="P68" s="28">
        <f t="shared" si="12"/>
        <v>0</v>
      </c>
      <c r="Q68" s="28">
        <f>IF(Q$14=0,0,Q$14*Q30)</f>
        <v>0</v>
      </c>
      <c r="R68" s="28">
        <f>IF(R$14=0,0,R$14*R30)</f>
        <v>0</v>
      </c>
      <c r="S68" s="400">
        <f>SUM(C68:R68)</f>
        <v>0</v>
      </c>
      <c r="T68" s="401"/>
      <c r="U68" s="401"/>
    </row>
    <row r="69" spans="1:21" x14ac:dyDescent="0.2">
      <c r="A69" s="3" t="s">
        <v>67</v>
      </c>
      <c r="B69" s="3"/>
      <c r="C69" s="28">
        <f t="shared" ref="C69:P69" si="13">IF(C$14=0,0,C$14*C31)</f>
        <v>0</v>
      </c>
      <c r="D69" s="28">
        <f t="shared" si="13"/>
        <v>0</v>
      </c>
      <c r="E69" s="28">
        <f t="shared" si="13"/>
        <v>0</v>
      </c>
      <c r="F69" s="28">
        <f t="shared" si="13"/>
        <v>0</v>
      </c>
      <c r="G69" s="28">
        <f t="shared" si="13"/>
        <v>0</v>
      </c>
      <c r="H69" s="28">
        <f t="shared" si="13"/>
        <v>0</v>
      </c>
      <c r="I69" s="28">
        <f t="shared" si="13"/>
        <v>0</v>
      </c>
      <c r="J69" s="28">
        <f t="shared" si="13"/>
        <v>0</v>
      </c>
      <c r="K69" s="28">
        <f t="shared" si="13"/>
        <v>0</v>
      </c>
      <c r="L69" s="28">
        <f t="shared" si="13"/>
        <v>0</v>
      </c>
      <c r="M69" s="28">
        <f t="shared" si="13"/>
        <v>0</v>
      </c>
      <c r="N69" s="28">
        <f t="shared" si="13"/>
        <v>0</v>
      </c>
      <c r="O69" s="28">
        <f t="shared" si="13"/>
        <v>0</v>
      </c>
      <c r="P69" s="28">
        <f t="shared" si="13"/>
        <v>0</v>
      </c>
      <c r="Q69" s="28">
        <f>IF(Q$14=0,0,Q$14*Q31)</f>
        <v>0</v>
      </c>
      <c r="R69" s="28">
        <f>IF(R$14=0,0,R$14*R31)</f>
        <v>0</v>
      </c>
      <c r="S69" s="400">
        <f>SUM(C69:R69)</f>
        <v>0</v>
      </c>
      <c r="T69" s="401"/>
      <c r="U69" s="401"/>
    </row>
    <row r="70" spans="1:21" x14ac:dyDescent="0.2">
      <c r="A70" s="20" t="s">
        <v>75</v>
      </c>
      <c r="B70" s="20">
        <v>80628</v>
      </c>
      <c r="P70" s="10"/>
      <c r="R70" s="10"/>
      <c r="S70" s="10"/>
      <c r="T70" s="89"/>
      <c r="U70" s="89"/>
    </row>
    <row r="71" spans="1:21" x14ac:dyDescent="0.2">
      <c r="A71" s="3" t="s">
        <v>66</v>
      </c>
      <c r="B71" s="3"/>
      <c r="C71" s="28">
        <f t="shared" ref="C71:P71" si="14">IF(C$14=0,0,C$14*C33)</f>
        <v>0</v>
      </c>
      <c r="D71" s="28">
        <f t="shared" si="14"/>
        <v>0</v>
      </c>
      <c r="E71" s="28">
        <f t="shared" si="14"/>
        <v>0</v>
      </c>
      <c r="F71" s="28">
        <f t="shared" si="14"/>
        <v>0</v>
      </c>
      <c r="G71" s="28">
        <f t="shared" si="14"/>
        <v>0</v>
      </c>
      <c r="H71" s="28">
        <f t="shared" si="14"/>
        <v>0</v>
      </c>
      <c r="I71" s="28">
        <f t="shared" si="14"/>
        <v>0</v>
      </c>
      <c r="J71" s="28">
        <f t="shared" si="14"/>
        <v>0</v>
      </c>
      <c r="K71" s="28">
        <f t="shared" si="14"/>
        <v>0</v>
      </c>
      <c r="L71" s="28">
        <f t="shared" si="14"/>
        <v>0</v>
      </c>
      <c r="M71" s="28">
        <f t="shared" si="14"/>
        <v>0</v>
      </c>
      <c r="N71" s="28">
        <f t="shared" si="14"/>
        <v>0</v>
      </c>
      <c r="O71" s="28">
        <f t="shared" si="14"/>
        <v>0</v>
      </c>
      <c r="P71" s="28">
        <f t="shared" si="14"/>
        <v>0</v>
      </c>
      <c r="Q71" s="28">
        <f>IF(Q$14=0,0,Q$14*Q33)</f>
        <v>0</v>
      </c>
      <c r="R71" s="28">
        <f>IF(R$14=0,0,R$14*R33)</f>
        <v>0</v>
      </c>
      <c r="S71" s="400">
        <f>SUM(C71:R71)</f>
        <v>0</v>
      </c>
      <c r="T71" s="401"/>
      <c r="U71" s="401"/>
    </row>
    <row r="72" spans="1:21" x14ac:dyDescent="0.2">
      <c r="A72" s="3" t="s">
        <v>67</v>
      </c>
      <c r="B72" s="3"/>
      <c r="C72" s="28">
        <f t="shared" ref="C72:P72" si="15">IF(C$14=0,0,C$14*C34)</f>
        <v>0</v>
      </c>
      <c r="D72" s="28">
        <f t="shared" si="15"/>
        <v>0</v>
      </c>
      <c r="E72" s="28">
        <f t="shared" si="15"/>
        <v>0</v>
      </c>
      <c r="F72" s="28">
        <f t="shared" si="15"/>
        <v>0</v>
      </c>
      <c r="G72" s="28">
        <f t="shared" si="15"/>
        <v>0</v>
      </c>
      <c r="H72" s="28">
        <f t="shared" si="15"/>
        <v>0</v>
      </c>
      <c r="I72" s="28">
        <f t="shared" si="15"/>
        <v>0</v>
      </c>
      <c r="J72" s="28">
        <f t="shared" si="15"/>
        <v>0</v>
      </c>
      <c r="K72" s="28">
        <f t="shared" si="15"/>
        <v>0</v>
      </c>
      <c r="L72" s="28">
        <f t="shared" si="15"/>
        <v>0</v>
      </c>
      <c r="M72" s="28">
        <f t="shared" si="15"/>
        <v>0</v>
      </c>
      <c r="N72" s="28">
        <f t="shared" si="15"/>
        <v>0</v>
      </c>
      <c r="O72" s="28">
        <f t="shared" si="15"/>
        <v>0</v>
      </c>
      <c r="P72" s="28">
        <f t="shared" si="15"/>
        <v>0</v>
      </c>
      <c r="Q72" s="28">
        <f>IF(Q$14=0,0,Q$14*Q34)</f>
        <v>0</v>
      </c>
      <c r="R72" s="28">
        <f>IF(R$14=0,0,R$14*R34)</f>
        <v>0</v>
      </c>
      <c r="S72" s="400">
        <f>SUM(C72:R72)</f>
        <v>0</v>
      </c>
      <c r="T72" s="401"/>
      <c r="U72" s="401"/>
    </row>
    <row r="73" spans="1:21" x14ac:dyDescent="0.2">
      <c r="A73" s="20" t="s">
        <v>409</v>
      </c>
      <c r="P73" s="10"/>
      <c r="R73" s="10"/>
      <c r="S73" s="10"/>
      <c r="T73" s="89"/>
      <c r="U73" s="40"/>
    </row>
    <row r="74" spans="1:21" x14ac:dyDescent="0.2">
      <c r="A74" s="3" t="s">
        <v>66</v>
      </c>
      <c r="C74" s="28">
        <f>IF(C$14=0,0,C$14*C36)</f>
        <v>0</v>
      </c>
      <c r="D74" s="28">
        <f t="shared" ref="D74:P74" si="16">IF(D$14=0,0,D$14*D36)</f>
        <v>0</v>
      </c>
      <c r="E74" s="28">
        <f t="shared" si="16"/>
        <v>0</v>
      </c>
      <c r="F74" s="28">
        <f t="shared" si="16"/>
        <v>0</v>
      </c>
      <c r="G74" s="28">
        <f t="shared" si="16"/>
        <v>0</v>
      </c>
      <c r="H74" s="28">
        <f t="shared" si="16"/>
        <v>0</v>
      </c>
      <c r="I74" s="28">
        <f t="shared" si="16"/>
        <v>0</v>
      </c>
      <c r="J74" s="28">
        <f t="shared" si="16"/>
        <v>0</v>
      </c>
      <c r="K74" s="28">
        <f t="shared" si="16"/>
        <v>0</v>
      </c>
      <c r="L74" s="28">
        <f t="shared" si="16"/>
        <v>0</v>
      </c>
      <c r="M74" s="28">
        <f t="shared" si="16"/>
        <v>0</v>
      </c>
      <c r="N74" s="28">
        <f t="shared" si="16"/>
        <v>0</v>
      </c>
      <c r="O74" s="28">
        <f t="shared" si="16"/>
        <v>0</v>
      </c>
      <c r="P74" s="28">
        <f t="shared" si="16"/>
        <v>0</v>
      </c>
      <c r="Q74" s="28">
        <f>IF(Q$14=0,0,Q$14*Q36)</f>
        <v>0</v>
      </c>
      <c r="R74" s="28">
        <f>IF(R$14=0,0,R$14*R36)</f>
        <v>0</v>
      </c>
      <c r="S74" s="400">
        <f>SUM(C74:R74)</f>
        <v>0</v>
      </c>
      <c r="T74" s="401"/>
      <c r="U74" s="401"/>
    </row>
    <row r="75" spans="1:21" x14ac:dyDescent="0.2">
      <c r="A75" s="3" t="s">
        <v>67</v>
      </c>
      <c r="B75" s="3"/>
      <c r="C75" s="28">
        <f t="shared" ref="C75:P75" si="17">IF(C$14=0,0,C$14*C37)</f>
        <v>0</v>
      </c>
      <c r="D75" s="28">
        <f t="shared" si="17"/>
        <v>0</v>
      </c>
      <c r="E75" s="28">
        <f t="shared" si="17"/>
        <v>0</v>
      </c>
      <c r="F75" s="28">
        <f t="shared" si="17"/>
        <v>0</v>
      </c>
      <c r="G75" s="28">
        <f t="shared" si="17"/>
        <v>0</v>
      </c>
      <c r="H75" s="28">
        <f t="shared" si="17"/>
        <v>0</v>
      </c>
      <c r="I75" s="28">
        <f t="shared" si="17"/>
        <v>0</v>
      </c>
      <c r="J75" s="28">
        <f t="shared" si="17"/>
        <v>0</v>
      </c>
      <c r="K75" s="28">
        <f t="shared" si="17"/>
        <v>0</v>
      </c>
      <c r="L75" s="28">
        <f t="shared" si="17"/>
        <v>0</v>
      </c>
      <c r="M75" s="28">
        <f t="shared" si="17"/>
        <v>0</v>
      </c>
      <c r="N75" s="28">
        <f t="shared" si="17"/>
        <v>0</v>
      </c>
      <c r="O75" s="28">
        <f t="shared" si="17"/>
        <v>0</v>
      </c>
      <c r="P75" s="28">
        <f t="shared" si="17"/>
        <v>0</v>
      </c>
      <c r="Q75" s="28">
        <f>IF(Q$14=0,0,Q$14*Q37)</f>
        <v>0</v>
      </c>
      <c r="R75" s="28">
        <f>IF(R$14=0,0,R$14*R37)</f>
        <v>0</v>
      </c>
      <c r="S75" s="400">
        <f>SUM(C75:R75)</f>
        <v>0</v>
      </c>
      <c r="T75" s="401"/>
      <c r="U75" s="401"/>
    </row>
    <row r="76" spans="1:21" x14ac:dyDescent="0.2">
      <c r="A76" s="20" t="s">
        <v>410</v>
      </c>
      <c r="B76" s="3"/>
      <c r="C76" s="28"/>
      <c r="D76" s="28"/>
      <c r="E76" s="28"/>
      <c r="F76" s="28"/>
      <c r="G76" s="28"/>
      <c r="H76" s="28"/>
      <c r="I76" s="28"/>
      <c r="J76" s="28"/>
      <c r="K76" s="28"/>
      <c r="L76" s="28"/>
      <c r="M76" s="28"/>
      <c r="N76" s="28"/>
      <c r="O76" s="28"/>
      <c r="P76" s="10"/>
      <c r="Q76" s="28"/>
      <c r="R76" s="10"/>
      <c r="S76" s="10"/>
      <c r="T76" s="89"/>
      <c r="U76" s="40"/>
    </row>
    <row r="77" spans="1:21" x14ac:dyDescent="0.2">
      <c r="A77" s="3" t="s">
        <v>66</v>
      </c>
      <c r="B77" s="3"/>
      <c r="C77" s="28">
        <f>IF(C$14=0,0,C$14*C39)</f>
        <v>0</v>
      </c>
      <c r="D77" s="28">
        <f t="shared" ref="D77:P77" si="18">IF(D$14=0,0,D$14*D36)</f>
        <v>0</v>
      </c>
      <c r="E77" s="28">
        <f t="shared" si="18"/>
        <v>0</v>
      </c>
      <c r="F77" s="28">
        <f t="shared" si="18"/>
        <v>0</v>
      </c>
      <c r="G77" s="28">
        <f t="shared" si="18"/>
        <v>0</v>
      </c>
      <c r="H77" s="28">
        <f t="shared" si="18"/>
        <v>0</v>
      </c>
      <c r="I77" s="28">
        <f t="shared" si="18"/>
        <v>0</v>
      </c>
      <c r="J77" s="28">
        <f t="shared" si="18"/>
        <v>0</v>
      </c>
      <c r="K77" s="28">
        <f t="shared" si="18"/>
        <v>0</v>
      </c>
      <c r="L77" s="28">
        <f t="shared" si="18"/>
        <v>0</v>
      </c>
      <c r="M77" s="28">
        <f t="shared" si="18"/>
        <v>0</v>
      </c>
      <c r="N77" s="28">
        <f t="shared" si="18"/>
        <v>0</v>
      </c>
      <c r="O77" s="28">
        <f t="shared" si="18"/>
        <v>0</v>
      </c>
      <c r="P77" s="28">
        <f t="shared" si="18"/>
        <v>0</v>
      </c>
      <c r="Q77" s="28">
        <f>IF(Q$14=0,0,Q$14*Q36)</f>
        <v>0</v>
      </c>
      <c r="R77" s="28">
        <f>IF(R$14=0,0,R$14*R36)</f>
        <v>0</v>
      </c>
      <c r="S77" s="400">
        <f>SUM(C77:R77)</f>
        <v>0</v>
      </c>
      <c r="T77" s="401"/>
      <c r="U77" s="401"/>
    </row>
    <row r="78" spans="1:21" x14ac:dyDescent="0.2">
      <c r="A78" s="3" t="s">
        <v>67</v>
      </c>
      <c r="B78" s="3"/>
      <c r="C78" s="28">
        <f>IF(C$14=0,0,C$14*C40)</f>
        <v>0</v>
      </c>
      <c r="D78" s="28">
        <f t="shared" ref="D78:P78" si="19">IF(D$14=0,0,D$14*D37)</f>
        <v>0</v>
      </c>
      <c r="E78" s="28">
        <f t="shared" si="19"/>
        <v>0</v>
      </c>
      <c r="F78" s="28">
        <f t="shared" si="19"/>
        <v>0</v>
      </c>
      <c r="G78" s="28">
        <f t="shared" si="19"/>
        <v>0</v>
      </c>
      <c r="H78" s="28">
        <f t="shared" si="19"/>
        <v>0</v>
      </c>
      <c r="I78" s="28">
        <f t="shared" si="19"/>
        <v>0</v>
      </c>
      <c r="J78" s="28">
        <f t="shared" si="19"/>
        <v>0</v>
      </c>
      <c r="K78" s="28">
        <f t="shared" si="19"/>
        <v>0</v>
      </c>
      <c r="L78" s="28">
        <f t="shared" si="19"/>
        <v>0</v>
      </c>
      <c r="M78" s="28">
        <f t="shared" si="19"/>
        <v>0</v>
      </c>
      <c r="N78" s="28">
        <f t="shared" si="19"/>
        <v>0</v>
      </c>
      <c r="O78" s="28">
        <f t="shared" si="19"/>
        <v>0</v>
      </c>
      <c r="P78" s="28">
        <f t="shared" si="19"/>
        <v>0</v>
      </c>
      <c r="Q78" s="28">
        <f>IF(Q$14=0,0,Q$14*Q37)</f>
        <v>0</v>
      </c>
      <c r="R78" s="28">
        <f>IF(R$14=0,0,R$14*R37)</f>
        <v>0</v>
      </c>
      <c r="S78" s="400">
        <f>SUM(C78:R78)</f>
        <v>0</v>
      </c>
      <c r="T78" s="401"/>
      <c r="U78" s="401"/>
    </row>
    <row r="79" spans="1:21" x14ac:dyDescent="0.2">
      <c r="A79" s="3"/>
      <c r="B79" s="3"/>
      <c r="C79" s="28"/>
      <c r="D79" s="28"/>
      <c r="E79" s="28"/>
      <c r="F79" s="28"/>
      <c r="G79" s="28"/>
      <c r="H79" s="28"/>
      <c r="I79" s="28"/>
      <c r="J79" s="28"/>
      <c r="K79" s="28"/>
      <c r="L79" s="28"/>
      <c r="M79" s="28"/>
      <c r="N79" s="28"/>
      <c r="O79" s="28"/>
      <c r="P79" s="10"/>
      <c r="Q79" s="28"/>
      <c r="R79" s="10"/>
      <c r="S79" s="10"/>
      <c r="T79" s="40"/>
      <c r="U79" s="40"/>
    </row>
    <row r="80" spans="1:21" x14ac:dyDescent="0.2">
      <c r="A80" s="158" t="str">
        <f>'Data-Collection'!A30</f>
        <v>Other VOC Substances (wt%)</v>
      </c>
      <c r="B80" s="15">
        <v>43101</v>
      </c>
      <c r="C80" s="14"/>
      <c r="D80" s="14"/>
      <c r="E80" s="14"/>
      <c r="F80" s="14"/>
      <c r="G80" s="14"/>
      <c r="H80" s="14"/>
      <c r="I80" s="14"/>
      <c r="J80" s="14"/>
      <c r="K80" s="14"/>
      <c r="L80" s="14"/>
      <c r="M80" s="14"/>
      <c r="N80" s="14"/>
      <c r="O80" s="14"/>
      <c r="P80" s="14"/>
      <c r="Q80" s="14"/>
      <c r="R80" s="14"/>
      <c r="S80" s="87"/>
      <c r="T80" s="87"/>
      <c r="U80" s="87"/>
    </row>
    <row r="81" spans="1:21" x14ac:dyDescent="0.2">
      <c r="A81" s="20" t="s">
        <v>411</v>
      </c>
      <c r="B81" s="3"/>
      <c r="C81" s="16"/>
      <c r="D81" s="16"/>
      <c r="E81" s="16"/>
      <c r="F81" s="16"/>
      <c r="G81" s="16"/>
      <c r="H81" s="16"/>
      <c r="I81" s="16"/>
      <c r="J81" s="16"/>
      <c r="K81" s="16"/>
      <c r="L81" s="16"/>
      <c r="M81" s="16"/>
      <c r="N81" s="16"/>
      <c r="O81" s="16"/>
      <c r="P81" s="16"/>
      <c r="Q81" s="16"/>
      <c r="R81" s="16"/>
      <c r="S81" s="87"/>
      <c r="T81" s="87"/>
      <c r="U81" s="87"/>
    </row>
    <row r="82" spans="1:21" x14ac:dyDescent="0.2">
      <c r="A82" s="3" t="s">
        <v>66</v>
      </c>
      <c r="B82" s="3"/>
      <c r="C82" s="40">
        <f>IF(C$14+C$15=0,0,(C$14+C$15)*C44)/2000</f>
        <v>0</v>
      </c>
      <c r="D82" s="40">
        <f t="shared" ref="D82:P82" si="20">IF(D$14+D$15=0,0,(D$14+D$15)*D44)/2000</f>
        <v>0</v>
      </c>
      <c r="E82" s="40">
        <f t="shared" si="20"/>
        <v>0</v>
      </c>
      <c r="F82" s="40">
        <f t="shared" si="20"/>
        <v>0</v>
      </c>
      <c r="G82" s="40">
        <f t="shared" si="20"/>
        <v>0</v>
      </c>
      <c r="H82" s="40">
        <f t="shared" si="20"/>
        <v>0</v>
      </c>
      <c r="I82" s="40">
        <f t="shared" si="20"/>
        <v>0</v>
      </c>
      <c r="J82" s="40">
        <f t="shared" si="20"/>
        <v>0</v>
      </c>
      <c r="K82" s="40">
        <f t="shared" si="20"/>
        <v>0</v>
      </c>
      <c r="L82" s="40">
        <f t="shared" si="20"/>
        <v>0</v>
      </c>
      <c r="M82" s="40">
        <f t="shared" si="20"/>
        <v>0</v>
      </c>
      <c r="N82" s="40">
        <f t="shared" si="20"/>
        <v>0</v>
      </c>
      <c r="O82" s="40">
        <f t="shared" si="20"/>
        <v>0</v>
      </c>
      <c r="P82" s="40">
        <f t="shared" si="20"/>
        <v>0</v>
      </c>
      <c r="Q82" s="40">
        <f>IF(Q$14+Q$15=0,0,(Q$14+Q$15)*Q44)/2000</f>
        <v>0</v>
      </c>
      <c r="R82" s="40">
        <f>IF(R$14+R$15=0,0,(R$14+R$15)*R44)/2000</f>
        <v>0</v>
      </c>
      <c r="S82" s="400">
        <f>SUM(C82:R82)</f>
        <v>0</v>
      </c>
      <c r="T82" s="401"/>
      <c r="U82" s="401"/>
    </row>
    <row r="83" spans="1:21" x14ac:dyDescent="0.2">
      <c r="A83" s="3" t="s">
        <v>67</v>
      </c>
      <c r="C83" s="40">
        <f>IF(C$14+C$15=0,0,(C$14+C$15)*C45)/2000</f>
        <v>0</v>
      </c>
      <c r="D83" s="40">
        <f t="shared" ref="D83:P83" si="21">IF(D$14+D$15=0,0,(D$14+D$15)*D45)/2000</f>
        <v>0</v>
      </c>
      <c r="E83" s="40">
        <f t="shared" si="21"/>
        <v>0</v>
      </c>
      <c r="F83" s="40">
        <f t="shared" si="21"/>
        <v>0</v>
      </c>
      <c r="G83" s="40">
        <f t="shared" si="21"/>
        <v>0</v>
      </c>
      <c r="H83" s="40">
        <f t="shared" si="21"/>
        <v>0</v>
      </c>
      <c r="I83" s="40">
        <f t="shared" si="21"/>
        <v>0</v>
      </c>
      <c r="J83" s="40">
        <f t="shared" si="21"/>
        <v>0</v>
      </c>
      <c r="K83" s="40">
        <f t="shared" si="21"/>
        <v>0</v>
      </c>
      <c r="L83" s="40">
        <f t="shared" si="21"/>
        <v>0</v>
      </c>
      <c r="M83" s="40">
        <f t="shared" si="21"/>
        <v>0</v>
      </c>
      <c r="N83" s="40">
        <f t="shared" si="21"/>
        <v>0</v>
      </c>
      <c r="O83" s="40">
        <f t="shared" si="21"/>
        <v>0</v>
      </c>
      <c r="P83" s="40">
        <f t="shared" si="21"/>
        <v>0</v>
      </c>
      <c r="Q83" s="40">
        <f>IF(Q$14+Q$15=0,0,(Q$14+Q$15)*Q45)/2000</f>
        <v>0</v>
      </c>
      <c r="R83" s="40">
        <f>IF(R$14+R$15=0,0,(R$14+R$15)*R45)/2000</f>
        <v>0</v>
      </c>
      <c r="S83" s="400">
        <f>SUM(C83:R83)</f>
        <v>0</v>
      </c>
      <c r="T83" s="401"/>
      <c r="U83" s="401"/>
    </row>
    <row r="84" spans="1:21" x14ac:dyDescent="0.2">
      <c r="A84" s="20" t="s">
        <v>442</v>
      </c>
      <c r="B84" s="15" t="s">
        <v>202</v>
      </c>
      <c r="S84" s="87"/>
      <c r="T84" s="87"/>
      <c r="U84" s="87"/>
    </row>
    <row r="85" spans="1:21" x14ac:dyDescent="0.2">
      <c r="A85" s="3" t="s">
        <v>66</v>
      </c>
      <c r="B85" s="3"/>
      <c r="C85" s="40">
        <f>IF(C$14+C$15=0,0,(C$14+C$15)*C47)/2000</f>
        <v>0</v>
      </c>
      <c r="D85" s="40">
        <f t="shared" ref="D85:P85" si="22">IF(D$14+D$15=0,0,(D$14+D$15)*D47)/2000</f>
        <v>0</v>
      </c>
      <c r="E85" s="40">
        <f t="shared" si="22"/>
        <v>0</v>
      </c>
      <c r="F85" s="40">
        <f t="shared" si="22"/>
        <v>0</v>
      </c>
      <c r="G85" s="40">
        <f t="shared" si="22"/>
        <v>0</v>
      </c>
      <c r="H85" s="40">
        <f t="shared" si="22"/>
        <v>0</v>
      </c>
      <c r="I85" s="40">
        <f t="shared" si="22"/>
        <v>0</v>
      </c>
      <c r="J85" s="40">
        <f t="shared" si="22"/>
        <v>0</v>
      </c>
      <c r="K85" s="40">
        <f t="shared" si="22"/>
        <v>0</v>
      </c>
      <c r="L85" s="40">
        <f t="shared" si="22"/>
        <v>0</v>
      </c>
      <c r="M85" s="40">
        <f t="shared" si="22"/>
        <v>0</v>
      </c>
      <c r="N85" s="40">
        <f t="shared" si="22"/>
        <v>0</v>
      </c>
      <c r="O85" s="40">
        <f t="shared" si="22"/>
        <v>0</v>
      </c>
      <c r="P85" s="40">
        <f t="shared" si="22"/>
        <v>0</v>
      </c>
      <c r="Q85" s="40">
        <f>IF(Q$14+Q$15=0,0,(Q$14+Q$15)*Q47)/2000</f>
        <v>0</v>
      </c>
      <c r="R85" s="40">
        <f>IF(R$14+R$15=0,0,(R$14+R$15)*R47)/2000</f>
        <v>0</v>
      </c>
      <c r="S85" s="400">
        <f>SUM(C85:R85)</f>
        <v>0</v>
      </c>
      <c r="T85" s="401"/>
      <c r="U85" s="401"/>
    </row>
    <row r="86" spans="1:21" x14ac:dyDescent="0.2">
      <c r="A86" s="3" t="s">
        <v>67</v>
      </c>
      <c r="B86" s="3"/>
      <c r="C86" s="40">
        <f>IF(C$14+C$15=0,0,(C$14+C$15)*C48)/2000</f>
        <v>0</v>
      </c>
      <c r="D86" s="40">
        <f t="shared" ref="D86:P86" si="23">IF(D$14+D$15=0,0,(D$14+D$15)*D48)/2000</f>
        <v>0</v>
      </c>
      <c r="E86" s="40">
        <f t="shared" si="23"/>
        <v>0</v>
      </c>
      <c r="F86" s="40">
        <f t="shared" si="23"/>
        <v>0</v>
      </c>
      <c r="G86" s="40">
        <f t="shared" si="23"/>
        <v>0</v>
      </c>
      <c r="H86" s="40">
        <f t="shared" si="23"/>
        <v>0</v>
      </c>
      <c r="I86" s="40">
        <f t="shared" si="23"/>
        <v>0</v>
      </c>
      <c r="J86" s="40">
        <f t="shared" si="23"/>
        <v>0</v>
      </c>
      <c r="K86" s="40">
        <f t="shared" si="23"/>
        <v>0</v>
      </c>
      <c r="L86" s="40">
        <f t="shared" si="23"/>
        <v>0</v>
      </c>
      <c r="M86" s="40">
        <f t="shared" si="23"/>
        <v>0</v>
      </c>
      <c r="N86" s="40">
        <f t="shared" si="23"/>
        <v>0</v>
      </c>
      <c r="O86" s="40">
        <f t="shared" si="23"/>
        <v>0</v>
      </c>
      <c r="P86" s="40">
        <f t="shared" si="23"/>
        <v>0</v>
      </c>
      <c r="Q86" s="40">
        <f>IF(Q$14+Q$15=0,0,(Q$14+Q$15)*Q48)/2000</f>
        <v>0</v>
      </c>
      <c r="R86" s="40">
        <f>IF(R$14+R$15=0,0,(R$14+R$15)*R48)/2000</f>
        <v>0</v>
      </c>
      <c r="S86" s="400">
        <f>SUM(C86:R86)</f>
        <v>0</v>
      </c>
      <c r="T86" s="401"/>
      <c r="U86" s="401"/>
    </row>
    <row r="87" spans="1:21" x14ac:dyDescent="0.2">
      <c r="A87" s="158"/>
      <c r="S87" s="89"/>
      <c r="T87" s="87"/>
      <c r="U87" s="87"/>
    </row>
    <row r="88" spans="1:21" x14ac:dyDescent="0.2">
      <c r="A88" s="20" t="s">
        <v>419</v>
      </c>
      <c r="S88" s="89"/>
      <c r="T88" s="87"/>
      <c r="U88" s="87"/>
    </row>
    <row r="89" spans="1:21" x14ac:dyDescent="0.2">
      <c r="A89" s="3" t="s">
        <v>66</v>
      </c>
      <c r="C89" s="16">
        <f>C65+C82+C85</f>
        <v>0</v>
      </c>
      <c r="D89" s="16">
        <f t="shared" ref="D89:P89" si="24">D65+D82+D85</f>
        <v>0</v>
      </c>
      <c r="E89" s="16">
        <f t="shared" si="24"/>
        <v>0</v>
      </c>
      <c r="F89" s="16">
        <f t="shared" si="24"/>
        <v>0</v>
      </c>
      <c r="G89" s="16">
        <f t="shared" si="24"/>
        <v>0</v>
      </c>
      <c r="H89" s="16">
        <f t="shared" si="24"/>
        <v>0</v>
      </c>
      <c r="I89" s="16">
        <f t="shared" si="24"/>
        <v>0</v>
      </c>
      <c r="J89" s="16">
        <f t="shared" si="24"/>
        <v>0</v>
      </c>
      <c r="K89" s="16">
        <f t="shared" si="24"/>
        <v>0</v>
      </c>
      <c r="L89" s="16">
        <f t="shared" si="24"/>
        <v>0</v>
      </c>
      <c r="M89" s="16">
        <f t="shared" si="24"/>
        <v>0</v>
      </c>
      <c r="N89" s="16">
        <f t="shared" si="24"/>
        <v>0</v>
      </c>
      <c r="O89" s="16">
        <f t="shared" si="24"/>
        <v>0</v>
      </c>
      <c r="P89" s="16">
        <f t="shared" si="24"/>
        <v>0</v>
      </c>
      <c r="Q89" s="16">
        <f>Q65+Q82+Q85</f>
        <v>0</v>
      </c>
      <c r="R89" s="16">
        <f>R65+R82+R85</f>
        <v>0</v>
      </c>
      <c r="S89" s="400">
        <f>SUM(C89:R89)</f>
        <v>0</v>
      </c>
      <c r="T89" s="401"/>
      <c r="U89" s="401"/>
    </row>
    <row r="90" spans="1:21" x14ac:dyDescent="0.2">
      <c r="A90" s="3" t="s">
        <v>67</v>
      </c>
      <c r="C90" s="16">
        <f>C66+C83+C86</f>
        <v>0</v>
      </c>
      <c r="D90" s="16">
        <f t="shared" ref="D90:P90" si="25">D66+D83+D86</f>
        <v>0</v>
      </c>
      <c r="E90" s="16">
        <f t="shared" si="25"/>
        <v>0</v>
      </c>
      <c r="F90" s="16">
        <f t="shared" si="25"/>
        <v>0</v>
      </c>
      <c r="G90" s="16">
        <f t="shared" si="25"/>
        <v>0</v>
      </c>
      <c r="H90" s="16">
        <f t="shared" si="25"/>
        <v>0</v>
      </c>
      <c r="I90" s="16">
        <f t="shared" si="25"/>
        <v>0</v>
      </c>
      <c r="J90" s="16">
        <f t="shared" si="25"/>
        <v>0</v>
      </c>
      <c r="K90" s="16">
        <f t="shared" si="25"/>
        <v>0</v>
      </c>
      <c r="L90" s="16">
        <f t="shared" si="25"/>
        <v>0</v>
      </c>
      <c r="M90" s="16">
        <f t="shared" si="25"/>
        <v>0</v>
      </c>
      <c r="N90" s="16">
        <f t="shared" si="25"/>
        <v>0</v>
      </c>
      <c r="O90" s="16">
        <f t="shared" si="25"/>
        <v>0</v>
      </c>
      <c r="P90" s="16">
        <f t="shared" si="25"/>
        <v>0</v>
      </c>
      <c r="Q90" s="16">
        <f>Q66+Q83+Q86</f>
        <v>0</v>
      </c>
      <c r="R90" s="16">
        <f>R66+R83+R86</f>
        <v>0</v>
      </c>
      <c r="S90" s="400">
        <f>SUM(C90:R90)</f>
        <v>0</v>
      </c>
      <c r="T90" s="401"/>
      <c r="U90" s="401"/>
    </row>
    <row r="91" spans="1:21" x14ac:dyDescent="0.2">
      <c r="A91" s="3"/>
      <c r="S91" s="89"/>
      <c r="T91" s="87"/>
      <c r="U91" s="87"/>
    </row>
    <row r="92" spans="1:21" x14ac:dyDescent="0.2">
      <c r="A92" s="158" t="str">
        <f>'Data-Collection'!A39</f>
        <v>Exempt Volatiles (wt%) - Specify</v>
      </c>
      <c r="B92" s="15"/>
      <c r="C92" s="28"/>
      <c r="D92" s="28"/>
      <c r="E92" s="28"/>
      <c r="F92" s="28"/>
      <c r="G92" s="28"/>
      <c r="H92" s="28"/>
      <c r="I92" s="28"/>
      <c r="J92" s="28"/>
      <c r="K92" s="28"/>
      <c r="L92" s="28"/>
      <c r="M92" s="28"/>
      <c r="N92" s="28"/>
      <c r="O92" s="28"/>
      <c r="P92" s="28"/>
      <c r="Q92" s="28"/>
      <c r="R92" s="28"/>
      <c r="S92" s="87"/>
      <c r="T92" s="87"/>
      <c r="U92" s="87"/>
    </row>
    <row r="93" spans="1:21" x14ac:dyDescent="0.2">
      <c r="A93" s="3" t="s">
        <v>66</v>
      </c>
      <c r="B93" s="3"/>
      <c r="C93" s="40">
        <f>IF(C$14+C$15=0,0,(C$14+C$15)*C51)/2000</f>
        <v>0</v>
      </c>
      <c r="D93" s="40">
        <f t="shared" ref="D93:P93" si="26">IF(D$14+D$15=0,0,(D$14+D$15)*D51)/2000</f>
        <v>0</v>
      </c>
      <c r="E93" s="40">
        <f t="shared" si="26"/>
        <v>0</v>
      </c>
      <c r="F93" s="40">
        <f t="shared" si="26"/>
        <v>0</v>
      </c>
      <c r="G93" s="40">
        <f t="shared" si="26"/>
        <v>0</v>
      </c>
      <c r="H93" s="40">
        <f t="shared" si="26"/>
        <v>0</v>
      </c>
      <c r="I93" s="40">
        <f t="shared" si="26"/>
        <v>0</v>
      </c>
      <c r="J93" s="40">
        <f t="shared" si="26"/>
        <v>0</v>
      </c>
      <c r="K93" s="40">
        <f t="shared" si="26"/>
        <v>0</v>
      </c>
      <c r="L93" s="40">
        <f t="shared" si="26"/>
        <v>0</v>
      </c>
      <c r="M93" s="40">
        <f t="shared" si="26"/>
        <v>0</v>
      </c>
      <c r="N93" s="40">
        <f t="shared" si="26"/>
        <v>0</v>
      </c>
      <c r="O93" s="40">
        <f t="shared" si="26"/>
        <v>0</v>
      </c>
      <c r="P93" s="40">
        <f t="shared" si="26"/>
        <v>0</v>
      </c>
      <c r="Q93" s="40">
        <f>IF(Q$14+Q$15=0,0,(Q$14+Q$15)*Q51)/2000</f>
        <v>0</v>
      </c>
      <c r="R93" s="40">
        <f>IF(R$14+R$15=0,0,(R$14+R$15)*R51)/2000</f>
        <v>0</v>
      </c>
      <c r="S93" s="400">
        <f>SUM(C93:R93)</f>
        <v>0</v>
      </c>
      <c r="T93" s="401"/>
      <c r="U93" s="401"/>
    </row>
    <row r="94" spans="1:21" x14ac:dyDescent="0.2">
      <c r="A94" s="3" t="s">
        <v>67</v>
      </c>
      <c r="B94" s="3"/>
      <c r="C94" s="40">
        <f>IF(C$14+C$15=0,0,(C$14+C$15)*C52)/2000</f>
        <v>0</v>
      </c>
      <c r="D94" s="40">
        <f t="shared" ref="D94:P94" si="27">IF(D$14+D$15=0,0,(D$14+D$15)*D52)/2000</f>
        <v>0</v>
      </c>
      <c r="E94" s="40">
        <f t="shared" si="27"/>
        <v>0</v>
      </c>
      <c r="F94" s="40">
        <f t="shared" si="27"/>
        <v>0</v>
      </c>
      <c r="G94" s="40">
        <f t="shared" si="27"/>
        <v>0</v>
      </c>
      <c r="H94" s="40">
        <f t="shared" si="27"/>
        <v>0</v>
      </c>
      <c r="I94" s="40">
        <f t="shared" si="27"/>
        <v>0</v>
      </c>
      <c r="J94" s="40">
        <f t="shared" si="27"/>
        <v>0</v>
      </c>
      <c r="K94" s="40">
        <f t="shared" si="27"/>
        <v>0</v>
      </c>
      <c r="L94" s="40">
        <f t="shared" si="27"/>
        <v>0</v>
      </c>
      <c r="M94" s="40">
        <f t="shared" si="27"/>
        <v>0</v>
      </c>
      <c r="N94" s="40">
        <f t="shared" si="27"/>
        <v>0</v>
      </c>
      <c r="O94" s="40">
        <f t="shared" si="27"/>
        <v>0</v>
      </c>
      <c r="P94" s="40">
        <f t="shared" si="27"/>
        <v>0</v>
      </c>
      <c r="Q94" s="40">
        <f>IF(Q$14+Q$15=0,0,(Q$14+Q$15)*Q52)/2000</f>
        <v>0</v>
      </c>
      <c r="R94" s="40">
        <f>IF(R$14+R$15=0,0,(R$14+R$15)*R52)/2000</f>
        <v>0</v>
      </c>
      <c r="S94" s="400">
        <f>SUM(C94:R94)</f>
        <v>0</v>
      </c>
      <c r="T94" s="401"/>
      <c r="U94" s="401"/>
    </row>
    <row r="95" spans="1:21" x14ac:dyDescent="0.2">
      <c r="A95" s="3"/>
      <c r="B95" s="3"/>
      <c r="C95" s="40"/>
      <c r="D95" s="40"/>
      <c r="E95" s="40"/>
      <c r="F95" s="40"/>
      <c r="G95" s="40"/>
      <c r="H95" s="40"/>
      <c r="I95" s="40"/>
      <c r="J95" s="40"/>
      <c r="K95" s="40"/>
      <c r="L95" s="40"/>
      <c r="M95" s="40"/>
      <c r="N95" s="40"/>
      <c r="O95" s="40"/>
      <c r="P95" s="40"/>
      <c r="Q95" s="40"/>
      <c r="R95" s="40"/>
      <c r="S95" s="89"/>
      <c r="T95" s="89"/>
      <c r="U95" s="89"/>
    </row>
    <row r="96" spans="1:21" x14ac:dyDescent="0.2">
      <c r="A96" s="20" t="s">
        <v>420</v>
      </c>
      <c r="B96" s="3"/>
      <c r="C96" s="40"/>
      <c r="D96" s="40"/>
      <c r="E96" s="40"/>
      <c r="F96" s="40"/>
      <c r="G96" s="40"/>
      <c r="H96" s="40"/>
      <c r="I96" s="40"/>
      <c r="J96" s="40"/>
      <c r="K96" s="40"/>
      <c r="L96" s="40"/>
      <c r="M96" s="40"/>
      <c r="N96" s="40"/>
      <c r="O96" s="40"/>
      <c r="P96" s="40"/>
      <c r="Q96" s="40"/>
      <c r="R96" s="40"/>
      <c r="S96" s="89"/>
      <c r="T96" s="89"/>
      <c r="U96" s="89"/>
    </row>
    <row r="97" spans="1:21" x14ac:dyDescent="0.2">
      <c r="A97" s="3" t="s">
        <v>66</v>
      </c>
      <c r="B97" s="3"/>
      <c r="C97" s="40">
        <f>C89+C93</f>
        <v>0</v>
      </c>
      <c r="D97" s="40">
        <f t="shared" ref="D97:P97" si="28">D89+D93</f>
        <v>0</v>
      </c>
      <c r="E97" s="40">
        <f t="shared" si="28"/>
        <v>0</v>
      </c>
      <c r="F97" s="40">
        <f t="shared" si="28"/>
        <v>0</v>
      </c>
      <c r="G97" s="40">
        <f t="shared" si="28"/>
        <v>0</v>
      </c>
      <c r="H97" s="40">
        <f t="shared" si="28"/>
        <v>0</v>
      </c>
      <c r="I97" s="40">
        <f t="shared" si="28"/>
        <v>0</v>
      </c>
      <c r="J97" s="40">
        <f t="shared" si="28"/>
        <v>0</v>
      </c>
      <c r="K97" s="40">
        <f t="shared" si="28"/>
        <v>0</v>
      </c>
      <c r="L97" s="40">
        <f t="shared" si="28"/>
        <v>0</v>
      </c>
      <c r="M97" s="40">
        <f t="shared" si="28"/>
        <v>0</v>
      </c>
      <c r="N97" s="40">
        <f t="shared" si="28"/>
        <v>0</v>
      </c>
      <c r="O97" s="40">
        <f t="shared" si="28"/>
        <v>0</v>
      </c>
      <c r="P97" s="40">
        <f t="shared" si="28"/>
        <v>0</v>
      </c>
      <c r="Q97" s="40">
        <f>Q89+Q93</f>
        <v>0</v>
      </c>
      <c r="R97" s="40">
        <f>R89+R93</f>
        <v>0</v>
      </c>
      <c r="S97" s="400">
        <f>SUM(C97:R97)</f>
        <v>0</v>
      </c>
      <c r="T97" s="401"/>
      <c r="U97" s="401"/>
    </row>
    <row r="98" spans="1:21" x14ac:dyDescent="0.2">
      <c r="A98" s="3" t="s">
        <v>67</v>
      </c>
      <c r="B98" s="3"/>
      <c r="C98" s="40">
        <f>C90+C94</f>
        <v>0</v>
      </c>
      <c r="D98" s="40">
        <f t="shared" ref="D98:P98" si="29">D90+D94</f>
        <v>0</v>
      </c>
      <c r="E98" s="40">
        <f t="shared" si="29"/>
        <v>0</v>
      </c>
      <c r="F98" s="40">
        <f t="shared" si="29"/>
        <v>0</v>
      </c>
      <c r="G98" s="40">
        <f t="shared" si="29"/>
        <v>0</v>
      </c>
      <c r="H98" s="40">
        <f t="shared" si="29"/>
        <v>0</v>
      </c>
      <c r="I98" s="40">
        <f t="shared" si="29"/>
        <v>0</v>
      </c>
      <c r="J98" s="40">
        <f t="shared" si="29"/>
        <v>0</v>
      </c>
      <c r="K98" s="40">
        <f t="shared" si="29"/>
        <v>0</v>
      </c>
      <c r="L98" s="40">
        <f t="shared" si="29"/>
        <v>0</v>
      </c>
      <c r="M98" s="40">
        <f t="shared" si="29"/>
        <v>0</v>
      </c>
      <c r="N98" s="40">
        <f t="shared" si="29"/>
        <v>0</v>
      </c>
      <c r="O98" s="40">
        <f t="shared" si="29"/>
        <v>0</v>
      </c>
      <c r="P98" s="40">
        <f t="shared" si="29"/>
        <v>0</v>
      </c>
      <c r="Q98" s="40">
        <f>Q90+Q94</f>
        <v>0</v>
      </c>
      <c r="R98" s="40">
        <f>R90+R94</f>
        <v>0</v>
      </c>
      <c r="S98" s="400">
        <f>SUM(C98:R98)</f>
        <v>0</v>
      </c>
      <c r="T98" s="401"/>
      <c r="U98" s="401"/>
    </row>
    <row r="99" spans="1:21" x14ac:dyDescent="0.2">
      <c r="A99" s="158"/>
      <c r="B99" s="3"/>
      <c r="C99" s="40"/>
      <c r="D99" s="40"/>
      <c r="E99" s="40"/>
      <c r="F99" s="40"/>
      <c r="G99" s="40"/>
      <c r="H99" s="40"/>
      <c r="I99" s="40"/>
      <c r="J99" s="40"/>
      <c r="K99" s="40"/>
      <c r="L99" s="40"/>
      <c r="M99" s="40"/>
      <c r="N99" s="40"/>
      <c r="O99" s="40"/>
      <c r="P99" s="40"/>
      <c r="Q99" s="40"/>
      <c r="R99" s="40"/>
      <c r="S99" s="87"/>
      <c r="T99" s="87"/>
      <c r="U99" s="87"/>
    </row>
    <row r="100" spans="1:21" x14ac:dyDescent="0.2">
      <c r="A100" s="158" t="str">
        <f>'Data-Collection'!A50</f>
        <v>Inert Mineral Filler</v>
      </c>
      <c r="B100" s="20"/>
      <c r="C100" s="40"/>
      <c r="D100" s="40"/>
      <c r="E100" s="40"/>
      <c r="F100" s="40"/>
      <c r="G100" s="40"/>
      <c r="H100" s="40"/>
      <c r="I100" s="40"/>
      <c r="J100" s="40"/>
      <c r="K100" s="40"/>
      <c r="L100" s="40"/>
      <c r="M100" s="40"/>
      <c r="N100" s="40"/>
      <c r="O100" s="40"/>
      <c r="P100" s="40"/>
      <c r="Q100" s="40"/>
      <c r="R100" s="40"/>
      <c r="S100" s="91"/>
      <c r="T100" s="10"/>
      <c r="U100" s="159"/>
    </row>
    <row r="101" spans="1:21" x14ac:dyDescent="0.2">
      <c r="A101" s="15" t="s">
        <v>195</v>
      </c>
      <c r="B101" s="15">
        <v>85101</v>
      </c>
      <c r="C101" s="91"/>
      <c r="D101" s="91"/>
      <c r="E101" s="91"/>
      <c r="F101" s="91"/>
      <c r="G101" s="91"/>
      <c r="H101" s="91"/>
      <c r="I101" s="91"/>
      <c r="J101" s="91"/>
      <c r="K101" s="91"/>
      <c r="L101" s="91"/>
      <c r="M101" s="91"/>
      <c r="N101" s="91"/>
      <c r="O101" s="91"/>
      <c r="P101" s="91"/>
      <c r="Q101" s="91"/>
      <c r="R101" s="91"/>
      <c r="S101" s="91"/>
      <c r="T101" s="10"/>
      <c r="U101" s="159"/>
    </row>
    <row r="102" spans="1:21" x14ac:dyDescent="0.2">
      <c r="A102" s="3" t="s">
        <v>66</v>
      </c>
      <c r="B102" s="3"/>
      <c r="C102" s="91">
        <f>C$21*C56/2000</f>
        <v>0</v>
      </c>
      <c r="D102" s="91">
        <f t="shared" ref="D102:P102" si="30">D$21*D56/2000</f>
        <v>0</v>
      </c>
      <c r="E102" s="91">
        <f t="shared" si="30"/>
        <v>0</v>
      </c>
      <c r="F102" s="91">
        <f t="shared" si="30"/>
        <v>0</v>
      </c>
      <c r="G102" s="91">
        <f t="shared" si="30"/>
        <v>0</v>
      </c>
      <c r="H102" s="91">
        <f t="shared" si="30"/>
        <v>0</v>
      </c>
      <c r="I102" s="91">
        <f t="shared" si="30"/>
        <v>0</v>
      </c>
      <c r="J102" s="91">
        <f t="shared" si="30"/>
        <v>0</v>
      </c>
      <c r="K102" s="91">
        <f t="shared" si="30"/>
        <v>0</v>
      </c>
      <c r="L102" s="91">
        <f t="shared" si="30"/>
        <v>0</v>
      </c>
      <c r="M102" s="91">
        <f t="shared" si="30"/>
        <v>0</v>
      </c>
      <c r="N102" s="91">
        <f t="shared" si="30"/>
        <v>0</v>
      </c>
      <c r="O102" s="91">
        <f t="shared" si="30"/>
        <v>0</v>
      </c>
      <c r="P102" s="91">
        <f t="shared" si="30"/>
        <v>0</v>
      </c>
      <c r="Q102" s="91">
        <f>Q$21*Q56/2000</f>
        <v>0</v>
      </c>
      <c r="R102" s="91">
        <f>R$21*R56/2000</f>
        <v>0</v>
      </c>
      <c r="S102" s="400">
        <f>SUM(C102:R102)</f>
        <v>0</v>
      </c>
      <c r="T102" s="401"/>
      <c r="U102" s="401"/>
    </row>
    <row r="103" spans="1:21" x14ac:dyDescent="0.2">
      <c r="A103" s="3" t="s">
        <v>67</v>
      </c>
      <c r="B103" s="3"/>
      <c r="C103" s="91">
        <f>C102*(1-C11/100)</f>
        <v>0</v>
      </c>
      <c r="D103" s="91">
        <f t="shared" ref="D103:P103" si="31">D102*(1-D11/100)</f>
        <v>0</v>
      </c>
      <c r="E103" s="91">
        <f t="shared" si="31"/>
        <v>0</v>
      </c>
      <c r="F103" s="91">
        <f t="shared" si="31"/>
        <v>0</v>
      </c>
      <c r="G103" s="91">
        <f t="shared" si="31"/>
        <v>0</v>
      </c>
      <c r="H103" s="91">
        <f t="shared" si="31"/>
        <v>0</v>
      </c>
      <c r="I103" s="91">
        <f t="shared" si="31"/>
        <v>0</v>
      </c>
      <c r="J103" s="91">
        <f t="shared" si="31"/>
        <v>0</v>
      </c>
      <c r="K103" s="91">
        <f t="shared" si="31"/>
        <v>0</v>
      </c>
      <c r="L103" s="91">
        <f t="shared" si="31"/>
        <v>0</v>
      </c>
      <c r="M103" s="91">
        <f t="shared" si="31"/>
        <v>0</v>
      </c>
      <c r="N103" s="91">
        <f t="shared" si="31"/>
        <v>0</v>
      </c>
      <c r="O103" s="91">
        <f t="shared" si="31"/>
        <v>0</v>
      </c>
      <c r="P103" s="91">
        <f t="shared" si="31"/>
        <v>0</v>
      </c>
      <c r="Q103" s="91">
        <f>Q102*(1-Q11/100)</f>
        <v>0</v>
      </c>
      <c r="R103" s="91">
        <f>R102*(1-R11/100)</f>
        <v>0</v>
      </c>
      <c r="S103" s="400">
        <f>SUM(C103:R103)</f>
        <v>0</v>
      </c>
      <c r="T103" s="401"/>
      <c r="U103" s="401"/>
    </row>
    <row r="104" spans="1:21" x14ac:dyDescent="0.2">
      <c r="A104" s="20" t="s">
        <v>199</v>
      </c>
      <c r="B104" s="20" t="s">
        <v>203</v>
      </c>
    </row>
    <row r="105" spans="1:21" x14ac:dyDescent="0.2">
      <c r="A105" s="3" t="s">
        <v>66</v>
      </c>
      <c r="C105" s="91">
        <f>C$21*C59</f>
        <v>0</v>
      </c>
      <c r="D105" s="91">
        <f t="shared" ref="D105:P105" si="32">D$21*D59</f>
        <v>0</v>
      </c>
      <c r="E105" s="91">
        <f t="shared" si="32"/>
        <v>0</v>
      </c>
      <c r="F105" s="91">
        <f t="shared" si="32"/>
        <v>0</v>
      </c>
      <c r="G105" s="91">
        <f t="shared" si="32"/>
        <v>0</v>
      </c>
      <c r="H105" s="91">
        <f t="shared" si="32"/>
        <v>0</v>
      </c>
      <c r="I105" s="91">
        <f t="shared" si="32"/>
        <v>0</v>
      </c>
      <c r="J105" s="91">
        <f t="shared" si="32"/>
        <v>0</v>
      </c>
      <c r="K105" s="91">
        <f t="shared" si="32"/>
        <v>0</v>
      </c>
      <c r="L105" s="91">
        <f t="shared" si="32"/>
        <v>0</v>
      </c>
      <c r="M105" s="91">
        <f t="shared" si="32"/>
        <v>0</v>
      </c>
      <c r="N105" s="91">
        <f t="shared" si="32"/>
        <v>0</v>
      </c>
      <c r="O105" s="91">
        <f t="shared" si="32"/>
        <v>0</v>
      </c>
      <c r="P105" s="91">
        <f t="shared" si="32"/>
        <v>0</v>
      </c>
      <c r="Q105" s="91">
        <f>Q$21*Q59</f>
        <v>0</v>
      </c>
      <c r="R105" s="91">
        <f>R$21*R59</f>
        <v>0</v>
      </c>
      <c r="S105" s="400">
        <f>SUM(C105:R105)</f>
        <v>0</v>
      </c>
      <c r="T105" s="401"/>
      <c r="U105" s="401"/>
    </row>
    <row r="106" spans="1:21" x14ac:dyDescent="0.2">
      <c r="A106" s="3" t="s">
        <v>67</v>
      </c>
      <c r="C106" s="91">
        <f>C105*(1-C11/100)</f>
        <v>0</v>
      </c>
      <c r="D106" s="91">
        <f t="shared" ref="D106:P106" si="33">D105*(1-D11/100)</f>
        <v>0</v>
      </c>
      <c r="E106" s="91">
        <f t="shared" si="33"/>
        <v>0</v>
      </c>
      <c r="F106" s="91">
        <f t="shared" si="33"/>
        <v>0</v>
      </c>
      <c r="G106" s="91">
        <f t="shared" si="33"/>
        <v>0</v>
      </c>
      <c r="H106" s="91">
        <f t="shared" si="33"/>
        <v>0</v>
      </c>
      <c r="I106" s="91">
        <f t="shared" si="33"/>
        <v>0</v>
      </c>
      <c r="J106" s="91">
        <f t="shared" si="33"/>
        <v>0</v>
      </c>
      <c r="K106" s="91">
        <f t="shared" si="33"/>
        <v>0</v>
      </c>
      <c r="L106" s="91">
        <f t="shared" si="33"/>
        <v>0</v>
      </c>
      <c r="M106" s="91">
        <f t="shared" si="33"/>
        <v>0</v>
      </c>
      <c r="N106" s="91">
        <f t="shared" si="33"/>
        <v>0</v>
      </c>
      <c r="O106" s="91">
        <f t="shared" si="33"/>
        <v>0</v>
      </c>
      <c r="P106" s="91">
        <f t="shared" si="33"/>
        <v>0</v>
      </c>
      <c r="Q106" s="91">
        <f>Q105*(1-Q11/100)</f>
        <v>0</v>
      </c>
      <c r="R106" s="91">
        <f>R105*(1-R11/100)</f>
        <v>0</v>
      </c>
      <c r="S106" s="400">
        <f>SUM(C106:R106)</f>
        <v>0</v>
      </c>
      <c r="T106" s="401"/>
      <c r="U106" s="401"/>
    </row>
    <row r="107" spans="1:21" ht="13.5" thickBot="1" x14ac:dyDescent="0.25">
      <c r="A107" s="62"/>
      <c r="B107" s="62"/>
      <c r="C107" s="63"/>
      <c r="D107" s="63"/>
      <c r="E107" s="63"/>
      <c r="F107" s="63"/>
      <c r="G107" s="63"/>
      <c r="H107" s="63"/>
      <c r="I107" s="63"/>
      <c r="J107" s="63"/>
      <c r="K107" s="63"/>
      <c r="L107" s="63"/>
      <c r="M107" s="63"/>
      <c r="N107" s="63"/>
      <c r="O107" s="63"/>
      <c r="P107" s="63"/>
      <c r="Q107" s="63"/>
      <c r="R107" s="63"/>
      <c r="S107" s="64"/>
      <c r="T107" s="64"/>
      <c r="U107" s="64"/>
    </row>
  </sheetData>
  <mergeCells count="52">
    <mergeCell ref="S97:U97"/>
    <mergeCell ref="S98:U98"/>
    <mergeCell ref="S85:U85"/>
    <mergeCell ref="S86:U86"/>
    <mergeCell ref="S105:U105"/>
    <mergeCell ref="S106:U106"/>
    <mergeCell ref="S93:U93"/>
    <mergeCell ref="S94:U94"/>
    <mergeCell ref="S102:U102"/>
    <mergeCell ref="S103:U103"/>
    <mergeCell ref="S89:U89"/>
    <mergeCell ref="S90:U90"/>
    <mergeCell ref="S74:U74"/>
    <mergeCell ref="S75:U75"/>
    <mergeCell ref="S77:U77"/>
    <mergeCell ref="S78:U78"/>
    <mergeCell ref="S82:U82"/>
    <mergeCell ref="S83:U83"/>
    <mergeCell ref="S65:U65"/>
    <mergeCell ref="S66:U66"/>
    <mergeCell ref="S68:U68"/>
    <mergeCell ref="S69:U69"/>
    <mergeCell ref="S71:U71"/>
    <mergeCell ref="S72:U72"/>
    <mergeCell ref="S51:U51"/>
    <mergeCell ref="S52:U52"/>
    <mergeCell ref="S56:U56"/>
    <mergeCell ref="S57:U57"/>
    <mergeCell ref="S59:U59"/>
    <mergeCell ref="S60:U60"/>
    <mergeCell ref="S39:U39"/>
    <mergeCell ref="S40:U40"/>
    <mergeCell ref="S44:U44"/>
    <mergeCell ref="S45:U45"/>
    <mergeCell ref="S48:U48"/>
    <mergeCell ref="S47:U47"/>
    <mergeCell ref="S30:U30"/>
    <mergeCell ref="S31:U31"/>
    <mergeCell ref="S33:U33"/>
    <mergeCell ref="S34:U34"/>
    <mergeCell ref="S36:U36"/>
    <mergeCell ref="S37:U37"/>
    <mergeCell ref="A1:U1"/>
    <mergeCell ref="S24:U24"/>
    <mergeCell ref="S62:U62"/>
    <mergeCell ref="S12:U12"/>
    <mergeCell ref="S6:U10"/>
    <mergeCell ref="B3:F3"/>
    <mergeCell ref="J3:N3"/>
    <mergeCell ref="S25:U25"/>
    <mergeCell ref="S27:U27"/>
    <mergeCell ref="S28:U28"/>
  </mergeCells>
  <phoneticPr fontId="0" type="noConversion"/>
  <printOptions horizontalCentered="1" verticalCentered="1"/>
  <pageMargins left="0.5" right="0.5" top="0.25" bottom="0.25" header="0.5" footer="0.1"/>
  <pageSetup paperSize="313" scale="55" orientation="landscape" r:id="rId1"/>
  <headerFooter alignWithMargins="0">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67"/>
  <sheetViews>
    <sheetView topLeftCell="A67" workbookViewId="0">
      <selection sqref="A1:K1"/>
    </sheetView>
  </sheetViews>
  <sheetFormatPr defaultRowHeight="12.75" x14ac:dyDescent="0.2"/>
  <cols>
    <col min="1" max="1" width="9.140625" style="15"/>
    <col min="2" max="2" width="32.7109375" customWidth="1"/>
    <col min="3" max="3" width="31.85546875" bestFit="1" customWidth="1"/>
    <col min="4" max="4" width="10.28515625" customWidth="1"/>
  </cols>
  <sheetData>
    <row r="1" spans="1:16" ht="33" x14ac:dyDescent="0.45">
      <c r="A1" s="393" t="s">
        <v>223</v>
      </c>
      <c r="B1" s="393"/>
      <c r="C1" s="393"/>
      <c r="D1" s="393"/>
      <c r="E1" s="393"/>
      <c r="F1" s="393"/>
      <c r="G1" s="393"/>
      <c r="H1" s="393"/>
      <c r="I1" s="393"/>
      <c r="J1" s="393"/>
      <c r="K1" s="393"/>
      <c r="L1" s="93"/>
      <c r="M1" s="93"/>
      <c r="N1" s="93"/>
      <c r="O1" s="93"/>
      <c r="P1" s="93"/>
    </row>
    <row r="2" spans="1:16" s="37" customFormat="1" x14ac:dyDescent="0.2">
      <c r="A2" s="36"/>
      <c r="C2" s="36"/>
      <c r="D2" s="36"/>
      <c r="E2" s="36"/>
      <c r="F2" s="36"/>
      <c r="G2" s="36"/>
      <c r="H2" s="36"/>
      <c r="I2" s="36"/>
      <c r="J2" s="36"/>
      <c r="K2" s="36"/>
      <c r="L2" s="36"/>
      <c r="M2" s="36"/>
    </row>
    <row r="3" spans="1:16" s="35" customFormat="1" ht="18" x14ac:dyDescent="0.25">
      <c r="A3" s="34"/>
      <c r="B3" s="33" t="s">
        <v>76</v>
      </c>
      <c r="C3" s="39">
        <f>'Data-Collection'!E4</f>
        <v>0</v>
      </c>
      <c r="E3" s="39"/>
      <c r="F3" s="39"/>
      <c r="G3" s="39"/>
      <c r="H3" s="34"/>
      <c r="I3" s="34"/>
      <c r="J3" s="34"/>
      <c r="K3" s="34"/>
      <c r="L3" s="34"/>
      <c r="M3" s="34"/>
    </row>
    <row r="4" spans="1:16" s="35" customFormat="1" ht="18" x14ac:dyDescent="0.25">
      <c r="A4" s="34"/>
      <c r="B4" s="33" t="s">
        <v>79</v>
      </c>
      <c r="C4" s="39" t="str">
        <f>'Data-Collection'!E5</f>
        <v xml:space="preserve">|_0_|_0_|_0_|_0_|  </v>
      </c>
      <c r="E4" s="39"/>
      <c r="F4" s="39"/>
      <c r="G4" s="39"/>
      <c r="H4" s="34"/>
      <c r="I4" s="34"/>
      <c r="J4" s="34"/>
      <c r="K4" s="34"/>
      <c r="L4" s="34"/>
      <c r="M4" s="34"/>
    </row>
    <row r="5" spans="1:16" s="35" customFormat="1" ht="18" x14ac:dyDescent="0.25">
      <c r="A5" s="34"/>
      <c r="B5" s="33" t="s">
        <v>77</v>
      </c>
      <c r="C5" s="39">
        <f>'Data-Collection'!K4</f>
        <v>0</v>
      </c>
      <c r="E5" s="39"/>
      <c r="F5" s="39"/>
      <c r="G5" s="39"/>
      <c r="H5" s="34"/>
      <c r="I5" s="34"/>
      <c r="J5" s="34"/>
      <c r="K5" s="34"/>
      <c r="L5" s="34"/>
      <c r="M5" s="34"/>
    </row>
    <row r="6" spans="1:16" s="35" customFormat="1" ht="18" x14ac:dyDescent="0.25">
      <c r="A6" s="34"/>
      <c r="B6" s="33" t="s">
        <v>78</v>
      </c>
      <c r="C6" s="39" t="str">
        <f>'Data-Collection'!K5</f>
        <v>|_0_|_0_|_0_|_0_|_0_|</v>
      </c>
      <c r="E6" s="39"/>
      <c r="F6" s="39"/>
      <c r="G6" s="39"/>
      <c r="H6" s="34"/>
      <c r="I6" s="34"/>
      <c r="J6" s="34"/>
      <c r="K6" s="34"/>
      <c r="L6" s="34"/>
      <c r="M6" s="34"/>
    </row>
    <row r="7" spans="1:16" s="35" customFormat="1" ht="18" x14ac:dyDescent="0.25">
      <c r="A7" s="34"/>
      <c r="B7" s="38" t="s">
        <v>80</v>
      </c>
      <c r="C7" s="39" t="str">
        <f>'Data-Collection'!A3</f>
        <v>20_ _</v>
      </c>
      <c r="E7" s="39"/>
      <c r="F7" s="39"/>
      <c r="G7" s="39"/>
      <c r="H7" s="34"/>
      <c r="I7" s="34"/>
      <c r="J7" s="34"/>
      <c r="K7" s="34"/>
      <c r="L7" s="34"/>
      <c r="M7" s="34"/>
    </row>
    <row r="8" spans="1:16" ht="13.5" thickBot="1" x14ac:dyDescent="0.25"/>
    <row r="9" spans="1:16" s="94" customFormat="1" ht="25.5" x14ac:dyDescent="0.2">
      <c r="A9" s="420" t="s">
        <v>42</v>
      </c>
      <c r="B9" s="417" t="s">
        <v>272</v>
      </c>
      <c r="C9" s="411" t="s">
        <v>275</v>
      </c>
      <c r="D9" s="411" t="s">
        <v>12</v>
      </c>
      <c r="E9" s="414" t="s">
        <v>293</v>
      </c>
      <c r="F9" s="415"/>
      <c r="G9" s="416"/>
      <c r="H9" s="100" t="s">
        <v>232</v>
      </c>
      <c r="I9" s="99" t="s">
        <v>233</v>
      </c>
      <c r="J9" s="411" t="s">
        <v>301</v>
      </c>
      <c r="K9" s="412"/>
    </row>
    <row r="10" spans="1:16" ht="25.5" x14ac:dyDescent="0.2">
      <c r="A10" s="421"/>
      <c r="B10" s="418"/>
      <c r="C10" s="419"/>
      <c r="D10" s="419"/>
      <c r="E10" s="96" t="s">
        <v>294</v>
      </c>
      <c r="F10" s="96" t="s">
        <v>295</v>
      </c>
      <c r="G10" s="111" t="s">
        <v>305</v>
      </c>
      <c r="H10" s="96" t="s">
        <v>230</v>
      </c>
      <c r="I10" s="96" t="s">
        <v>231</v>
      </c>
      <c r="J10" s="111" t="s">
        <v>303</v>
      </c>
      <c r="K10" s="112" t="s">
        <v>302</v>
      </c>
    </row>
    <row r="11" spans="1:16" ht="38.25" customHeight="1" x14ac:dyDescent="0.2">
      <c r="A11" s="172">
        <f>('Data-Collection'!C$7)</f>
        <v>1</v>
      </c>
      <c r="B11" s="163">
        <f>('Data-Collection'!C$8)</f>
        <v>0</v>
      </c>
      <c r="C11" s="97">
        <f>('Data-Collection'!C$9)</f>
        <v>0</v>
      </c>
      <c r="D11" s="96" t="str">
        <f t="shared" ref="D11:D26" si="0">IF(C11=0, "00", LEFT(C11,2))</f>
        <v>00</v>
      </c>
      <c r="E11" s="95">
        <f>VLOOKUP(D11,$D$36:$F$67,2)</f>
        <v>0</v>
      </c>
      <c r="F11" s="98">
        <f>Emission_Cals!C$17</f>
        <v>0</v>
      </c>
      <c r="G11" s="113" t="str">
        <f>IF(F11&gt;E11,"No", "Yes")</f>
        <v>Yes</v>
      </c>
      <c r="H11" s="95">
        <f>VLOOKUP($D11,$D$36:$F$67,3)</f>
        <v>0</v>
      </c>
      <c r="I11" s="98">
        <f>Emission_Cals!C$14</f>
        <v>0</v>
      </c>
      <c r="J11" s="98">
        <f>IF(I11=0,0, H11*I11/2000)</f>
        <v>0</v>
      </c>
      <c r="K11" s="101">
        <f>Emission_Cals!C$66+Emission_Cals!C$83</f>
        <v>0</v>
      </c>
    </row>
    <row r="12" spans="1:16" ht="38.25" customHeight="1" x14ac:dyDescent="0.2">
      <c r="A12" s="172">
        <f>('Data-Collection'!D$7)</f>
        <v>2</v>
      </c>
      <c r="B12" s="163">
        <f>('Data-Collection'!D$8)</f>
        <v>0</v>
      </c>
      <c r="C12" s="97">
        <f>('Data-Collection'!D$9)</f>
        <v>0</v>
      </c>
      <c r="D12" s="96" t="str">
        <f t="shared" si="0"/>
        <v>00</v>
      </c>
      <c r="E12" s="95">
        <f>VLOOKUP(D12,$D$36:$F$67,2)</f>
        <v>0</v>
      </c>
      <c r="F12" s="98">
        <f>Emission_Cals!D$17</f>
        <v>0</v>
      </c>
      <c r="G12" s="113" t="str">
        <f t="shared" ref="G12:G24" si="1">IF(F12&gt;E12,"No", "Yes")</f>
        <v>Yes</v>
      </c>
      <c r="H12" s="95">
        <f t="shared" ref="H12:H26" si="2">VLOOKUP($D12,$D$36:$F$67,3)</f>
        <v>0</v>
      </c>
      <c r="I12" s="98">
        <f>Emission_Cals!D$14</f>
        <v>0</v>
      </c>
      <c r="J12" s="98">
        <f t="shared" ref="J12:J24" si="3">IF(I12=0,0, H12*I12/2000)</f>
        <v>0</v>
      </c>
      <c r="K12" s="101">
        <f>Emission_Cals!D$66+Emission_Cals!D$83</f>
        <v>0</v>
      </c>
    </row>
    <row r="13" spans="1:16" ht="38.25" customHeight="1" x14ac:dyDescent="0.2">
      <c r="A13" s="172">
        <f>('Data-Collection'!E$7)</f>
        <v>3</v>
      </c>
      <c r="B13" s="163">
        <f>('Data-Collection'!E$8)</f>
        <v>0</v>
      </c>
      <c r="C13" s="97">
        <f>('Data-Collection'!E$9)</f>
        <v>0</v>
      </c>
      <c r="D13" s="96" t="str">
        <f t="shared" si="0"/>
        <v>00</v>
      </c>
      <c r="E13" s="95">
        <f t="shared" ref="E13:E26" si="4">VLOOKUP(D13,$D$36:$F$67,2)</f>
        <v>0</v>
      </c>
      <c r="F13" s="98">
        <f>Emission_Cals!E$17</f>
        <v>0</v>
      </c>
      <c r="G13" s="113" t="str">
        <f t="shared" si="1"/>
        <v>Yes</v>
      </c>
      <c r="H13" s="95">
        <f t="shared" si="2"/>
        <v>0</v>
      </c>
      <c r="I13" s="98">
        <f>Emission_Cals!E$14</f>
        <v>0</v>
      </c>
      <c r="J13" s="98">
        <f t="shared" si="3"/>
        <v>0</v>
      </c>
      <c r="K13" s="101">
        <f>Emission_Cals!E$66+Emission_Cals!E$83</f>
        <v>0</v>
      </c>
    </row>
    <row r="14" spans="1:16" ht="38.25" customHeight="1" x14ac:dyDescent="0.2">
      <c r="A14" s="172">
        <f>('Data-Collection'!F$7)</f>
        <v>4</v>
      </c>
      <c r="B14" s="163">
        <f>('Data-Collection'!F$8)</f>
        <v>0</v>
      </c>
      <c r="C14" s="97">
        <f>('Data-Collection'!F$9)</f>
        <v>0</v>
      </c>
      <c r="D14" s="96" t="str">
        <f t="shared" si="0"/>
        <v>00</v>
      </c>
      <c r="E14" s="95">
        <f t="shared" si="4"/>
        <v>0</v>
      </c>
      <c r="F14" s="98">
        <f>Emission_Cals!F$17</f>
        <v>0</v>
      </c>
      <c r="G14" s="113" t="str">
        <f t="shared" si="1"/>
        <v>Yes</v>
      </c>
      <c r="H14" s="95">
        <f t="shared" si="2"/>
        <v>0</v>
      </c>
      <c r="I14" s="98">
        <f>Emission_Cals!F$14</f>
        <v>0</v>
      </c>
      <c r="J14" s="98">
        <f t="shared" si="3"/>
        <v>0</v>
      </c>
      <c r="K14" s="101">
        <f>Emission_Cals!F$66+Emission_Cals!F$83</f>
        <v>0</v>
      </c>
    </row>
    <row r="15" spans="1:16" ht="38.25" customHeight="1" x14ac:dyDescent="0.2">
      <c r="A15" s="172">
        <f>('Data-Collection'!G$7)</f>
        <v>5</v>
      </c>
      <c r="B15" s="163">
        <f>('Data-Collection'!G$8)</f>
        <v>0</v>
      </c>
      <c r="C15" s="97">
        <f>('Data-Collection'!G$9)</f>
        <v>0</v>
      </c>
      <c r="D15" s="96" t="str">
        <f t="shared" si="0"/>
        <v>00</v>
      </c>
      <c r="E15" s="95">
        <f t="shared" si="4"/>
        <v>0</v>
      </c>
      <c r="F15" s="98">
        <f>Emission_Cals!G$17</f>
        <v>0</v>
      </c>
      <c r="G15" s="113" t="str">
        <f t="shared" si="1"/>
        <v>Yes</v>
      </c>
      <c r="H15" s="95">
        <f t="shared" si="2"/>
        <v>0</v>
      </c>
      <c r="I15" s="98">
        <f>Emission_Cals!G$14</f>
        <v>0</v>
      </c>
      <c r="J15" s="98">
        <f t="shared" si="3"/>
        <v>0</v>
      </c>
      <c r="K15" s="101">
        <f>Emission_Cals!G$66+Emission_Cals!G$83</f>
        <v>0</v>
      </c>
    </row>
    <row r="16" spans="1:16" ht="38.25" customHeight="1" x14ac:dyDescent="0.2">
      <c r="A16" s="172">
        <f>('Data-Collection'!H$7)</f>
        <v>6</v>
      </c>
      <c r="B16" s="163">
        <f>('Data-Collection'!H$8)</f>
        <v>0</v>
      </c>
      <c r="C16" s="97">
        <f>('Data-Collection'!H$9)</f>
        <v>0</v>
      </c>
      <c r="D16" s="96" t="str">
        <f t="shared" si="0"/>
        <v>00</v>
      </c>
      <c r="E16" s="95">
        <f t="shared" si="4"/>
        <v>0</v>
      </c>
      <c r="F16" s="98">
        <f>Emission_Cals!H$17</f>
        <v>0</v>
      </c>
      <c r="G16" s="113" t="str">
        <f t="shared" si="1"/>
        <v>Yes</v>
      </c>
      <c r="H16" s="95">
        <f t="shared" si="2"/>
        <v>0</v>
      </c>
      <c r="I16" s="98">
        <f>Emission_Cals!H$14</f>
        <v>0</v>
      </c>
      <c r="J16" s="98">
        <f t="shared" si="3"/>
        <v>0</v>
      </c>
      <c r="K16" s="101">
        <f>Emission_Cals!H$66+Emission_Cals!H$83</f>
        <v>0</v>
      </c>
    </row>
    <row r="17" spans="1:11" ht="38.25" customHeight="1" x14ac:dyDescent="0.2">
      <c r="A17" s="172">
        <f>('Data-Collection'!I$7)</f>
        <v>7</v>
      </c>
      <c r="B17" s="163">
        <f>('Data-Collection'!I$8)</f>
        <v>0</v>
      </c>
      <c r="C17" s="97">
        <f>('Data-Collection'!I$9)</f>
        <v>0</v>
      </c>
      <c r="D17" s="96" t="str">
        <f t="shared" si="0"/>
        <v>00</v>
      </c>
      <c r="E17" s="95">
        <f t="shared" si="4"/>
        <v>0</v>
      </c>
      <c r="F17" s="98">
        <f>Emission_Cals!I$17</f>
        <v>0</v>
      </c>
      <c r="G17" s="113" t="str">
        <f t="shared" si="1"/>
        <v>Yes</v>
      </c>
      <c r="H17" s="95">
        <f t="shared" si="2"/>
        <v>0</v>
      </c>
      <c r="I17" s="98">
        <f>Emission_Cals!I$14</f>
        <v>0</v>
      </c>
      <c r="J17" s="98">
        <f t="shared" si="3"/>
        <v>0</v>
      </c>
      <c r="K17" s="101">
        <f>Emission_Cals!I$66+Emission_Cals!I$83</f>
        <v>0</v>
      </c>
    </row>
    <row r="18" spans="1:11" ht="38.25" customHeight="1" x14ac:dyDescent="0.2">
      <c r="A18" s="172">
        <f>('Data-Collection'!J$7)</f>
        <v>8</v>
      </c>
      <c r="B18" s="163">
        <f>('Data-Collection'!J$8)</f>
        <v>0</v>
      </c>
      <c r="C18" s="97">
        <f>('Data-Collection'!J$9)</f>
        <v>0</v>
      </c>
      <c r="D18" s="96" t="str">
        <f t="shared" si="0"/>
        <v>00</v>
      </c>
      <c r="E18" s="95">
        <f t="shared" si="4"/>
        <v>0</v>
      </c>
      <c r="F18" s="98">
        <f>Emission_Cals!J$17</f>
        <v>0</v>
      </c>
      <c r="G18" s="113" t="str">
        <f t="shared" si="1"/>
        <v>Yes</v>
      </c>
      <c r="H18" s="95">
        <f t="shared" si="2"/>
        <v>0</v>
      </c>
      <c r="I18" s="98">
        <f>Emission_Cals!J$14</f>
        <v>0</v>
      </c>
      <c r="J18" s="98">
        <f t="shared" si="3"/>
        <v>0</v>
      </c>
      <c r="K18" s="101">
        <f>Emission_Cals!J$66+Emission_Cals!J$83</f>
        <v>0</v>
      </c>
    </row>
    <row r="19" spans="1:11" ht="38.25" customHeight="1" x14ac:dyDescent="0.2">
      <c r="A19" s="172">
        <f>('Data-Collection'!K$7)</f>
        <v>9</v>
      </c>
      <c r="B19" s="163">
        <f>('Data-Collection'!K$8)</f>
        <v>0</v>
      </c>
      <c r="C19" s="97">
        <f>('Data-Collection'!K$9)</f>
        <v>0</v>
      </c>
      <c r="D19" s="96" t="str">
        <f t="shared" si="0"/>
        <v>00</v>
      </c>
      <c r="E19" s="95">
        <f t="shared" si="4"/>
        <v>0</v>
      </c>
      <c r="F19" s="98">
        <f>Emission_Cals!K$17</f>
        <v>0</v>
      </c>
      <c r="G19" s="113" t="str">
        <f t="shared" si="1"/>
        <v>Yes</v>
      </c>
      <c r="H19" s="95">
        <f t="shared" si="2"/>
        <v>0</v>
      </c>
      <c r="I19" s="98">
        <f>Emission_Cals!K$14</f>
        <v>0</v>
      </c>
      <c r="J19" s="98">
        <f>IF(I19=0,0, H19*I19/2000)</f>
        <v>0</v>
      </c>
      <c r="K19" s="101">
        <f>Emission_Cals!K$66+Emission_Cals!K$83</f>
        <v>0</v>
      </c>
    </row>
    <row r="20" spans="1:11" ht="38.25" customHeight="1" x14ac:dyDescent="0.2">
      <c r="A20" s="172">
        <f>('Data-Collection'!L$7)</f>
        <v>10</v>
      </c>
      <c r="B20" s="163">
        <f>('Data-Collection'!L$8)</f>
        <v>0</v>
      </c>
      <c r="C20" s="97">
        <f>('Data-Collection'!L$9)</f>
        <v>0</v>
      </c>
      <c r="D20" s="96" t="str">
        <f t="shared" si="0"/>
        <v>00</v>
      </c>
      <c r="E20" s="95">
        <f t="shared" si="4"/>
        <v>0</v>
      </c>
      <c r="F20" s="98">
        <f>Emission_Cals!L$17</f>
        <v>0</v>
      </c>
      <c r="G20" s="113" t="str">
        <f t="shared" si="1"/>
        <v>Yes</v>
      </c>
      <c r="H20" s="95">
        <f t="shared" si="2"/>
        <v>0</v>
      </c>
      <c r="I20" s="98">
        <f>Emission_Cals!L$14</f>
        <v>0</v>
      </c>
      <c r="J20" s="98">
        <f t="shared" si="3"/>
        <v>0</v>
      </c>
      <c r="K20" s="101">
        <f>Emission_Cals!L$66+Emission_Cals!L$83</f>
        <v>0</v>
      </c>
    </row>
    <row r="21" spans="1:11" ht="38.25" customHeight="1" x14ac:dyDescent="0.2">
      <c r="A21" s="172">
        <f>('Data-Collection'!M$7)</f>
        <v>11</v>
      </c>
      <c r="B21" s="163">
        <f>('Data-Collection'!M$8)</f>
        <v>0</v>
      </c>
      <c r="C21" s="97">
        <f>('Data-Collection'!M$9)</f>
        <v>0</v>
      </c>
      <c r="D21" s="96" t="str">
        <f t="shared" si="0"/>
        <v>00</v>
      </c>
      <c r="E21" s="95">
        <f t="shared" si="4"/>
        <v>0</v>
      </c>
      <c r="F21" s="98">
        <f>Emission_Cals!M$17</f>
        <v>0</v>
      </c>
      <c r="G21" s="113" t="str">
        <f t="shared" si="1"/>
        <v>Yes</v>
      </c>
      <c r="H21" s="95">
        <f t="shared" si="2"/>
        <v>0</v>
      </c>
      <c r="I21" s="98">
        <f>Emission_Cals!M$14</f>
        <v>0</v>
      </c>
      <c r="J21" s="98">
        <f t="shared" si="3"/>
        <v>0</v>
      </c>
      <c r="K21" s="101">
        <f>Emission_Cals!M$66+Emission_Cals!M$83</f>
        <v>0</v>
      </c>
    </row>
    <row r="22" spans="1:11" ht="38.25" customHeight="1" x14ac:dyDescent="0.2">
      <c r="A22" s="172">
        <f>('Data-Collection'!N$7)</f>
        <v>12</v>
      </c>
      <c r="B22" s="163">
        <f>('Data-Collection'!N$8)</f>
        <v>0</v>
      </c>
      <c r="C22" s="97">
        <f>('Data-Collection'!N$9)</f>
        <v>0</v>
      </c>
      <c r="D22" s="96" t="str">
        <f t="shared" si="0"/>
        <v>00</v>
      </c>
      <c r="E22" s="95">
        <f t="shared" si="4"/>
        <v>0</v>
      </c>
      <c r="F22" s="98">
        <f>Emission_Cals!N$17</f>
        <v>0</v>
      </c>
      <c r="G22" s="113" t="str">
        <f t="shared" si="1"/>
        <v>Yes</v>
      </c>
      <c r="H22" s="95">
        <f t="shared" si="2"/>
        <v>0</v>
      </c>
      <c r="I22" s="98">
        <f>Emission_Cals!N$14</f>
        <v>0</v>
      </c>
      <c r="J22" s="98">
        <f t="shared" si="3"/>
        <v>0</v>
      </c>
      <c r="K22" s="101">
        <f>Emission_Cals!N$66+Emission_Cals!N$83</f>
        <v>0</v>
      </c>
    </row>
    <row r="23" spans="1:11" ht="38.25" customHeight="1" x14ac:dyDescent="0.2">
      <c r="A23" s="172">
        <f>('Data-Collection'!O$7)</f>
        <v>13</v>
      </c>
      <c r="B23" s="163">
        <f>('Data-Collection'!O$8)</f>
        <v>0</v>
      </c>
      <c r="C23" s="97">
        <f>('Data-Collection'!O$9)</f>
        <v>0</v>
      </c>
      <c r="D23" s="96" t="str">
        <f t="shared" si="0"/>
        <v>00</v>
      </c>
      <c r="E23" s="95">
        <f t="shared" si="4"/>
        <v>0</v>
      </c>
      <c r="F23" s="98">
        <f>Emission_Cals!O$17</f>
        <v>0</v>
      </c>
      <c r="G23" s="113" t="str">
        <f t="shared" si="1"/>
        <v>Yes</v>
      </c>
      <c r="H23" s="95">
        <f t="shared" si="2"/>
        <v>0</v>
      </c>
      <c r="I23" s="98">
        <f>Emission_Cals!O$14</f>
        <v>0</v>
      </c>
      <c r="J23" s="98">
        <f t="shared" si="3"/>
        <v>0</v>
      </c>
      <c r="K23" s="101">
        <f>Emission_Cals!O$66+Emission_Cals!O$83</f>
        <v>0</v>
      </c>
    </row>
    <row r="24" spans="1:11" ht="38.25" customHeight="1" x14ac:dyDescent="0.2">
      <c r="A24" s="172">
        <f>('Data-Collection'!P$7)</f>
        <v>14</v>
      </c>
      <c r="B24" s="163">
        <f>('Data-Collection'!P$8)</f>
        <v>0</v>
      </c>
      <c r="C24" s="97">
        <f>('Data-Collection'!P$9)</f>
        <v>0</v>
      </c>
      <c r="D24" s="96" t="str">
        <f t="shared" si="0"/>
        <v>00</v>
      </c>
      <c r="E24" s="95">
        <f t="shared" si="4"/>
        <v>0</v>
      </c>
      <c r="F24" s="98">
        <f>Emission_Cals!P$17</f>
        <v>0</v>
      </c>
      <c r="G24" s="113" t="str">
        <f t="shared" si="1"/>
        <v>Yes</v>
      </c>
      <c r="H24" s="95">
        <f t="shared" si="2"/>
        <v>0</v>
      </c>
      <c r="I24" s="98">
        <f>Emission_Cals!P$14</f>
        <v>0</v>
      </c>
      <c r="J24" s="98">
        <f t="shared" si="3"/>
        <v>0</v>
      </c>
      <c r="K24" s="101">
        <f>Emission_Cals!P$66+Emission_Cals!P$83</f>
        <v>0</v>
      </c>
    </row>
    <row r="25" spans="1:11" ht="38.25" customHeight="1" x14ac:dyDescent="0.2">
      <c r="A25" s="172">
        <f>('Data-Collection'!Q$7)</f>
        <v>15</v>
      </c>
      <c r="B25" s="163">
        <f>('Data-Collection'!Q$8)</f>
        <v>0</v>
      </c>
      <c r="C25" s="97">
        <f>('Data-Collection'!Q$9)</f>
        <v>0</v>
      </c>
      <c r="D25" s="96" t="str">
        <f t="shared" si="0"/>
        <v>00</v>
      </c>
      <c r="E25" s="95">
        <f t="shared" si="4"/>
        <v>0</v>
      </c>
      <c r="F25" s="98">
        <f>Emission_Cals!Q$17</f>
        <v>0</v>
      </c>
      <c r="G25" s="113" t="str">
        <f>IF(F25&gt;E25,"No", "Yes")</f>
        <v>Yes</v>
      </c>
      <c r="H25" s="95">
        <f t="shared" si="2"/>
        <v>0</v>
      </c>
      <c r="I25" s="98">
        <f>Emission_Cals!Q$14</f>
        <v>0</v>
      </c>
      <c r="J25" s="98">
        <f>IF(I25=0,0, H25*I25/2000)</f>
        <v>0</v>
      </c>
      <c r="K25" s="101">
        <f>Emission_Cals!Q$66+Emission_Cals!Q$83</f>
        <v>0</v>
      </c>
    </row>
    <row r="26" spans="1:11" ht="38.25" customHeight="1" thickBot="1" x14ac:dyDescent="0.25">
      <c r="A26" s="173">
        <f>('Data-Collection'!R$7)</f>
        <v>16</v>
      </c>
      <c r="B26" s="163">
        <f>('Data-Collection'!R$8)</f>
        <v>0</v>
      </c>
      <c r="C26" s="97">
        <f>('Data-Collection'!R$9)</f>
        <v>0</v>
      </c>
      <c r="D26" s="96" t="str">
        <f t="shared" si="0"/>
        <v>00</v>
      </c>
      <c r="E26" s="95">
        <f t="shared" si="4"/>
        <v>0</v>
      </c>
      <c r="F26" s="98">
        <f>Emission_Cals!P$17</f>
        <v>0</v>
      </c>
      <c r="G26" s="113" t="str">
        <f>IF(F26&gt;E26,"No", "Yes")</f>
        <v>Yes</v>
      </c>
      <c r="H26" s="246">
        <f t="shared" si="2"/>
        <v>0</v>
      </c>
      <c r="I26" s="247">
        <f>Emission_Cals!R$14</f>
        <v>0</v>
      </c>
      <c r="J26" s="247">
        <f>IF(I26=0,0, H26*I26/2000)</f>
        <v>0</v>
      </c>
      <c r="K26" s="248">
        <f>Emission_Cals!R$66+Emission_Cals!R$83</f>
        <v>0</v>
      </c>
    </row>
    <row r="27" spans="1:11" ht="24.95" customHeight="1" thickTop="1" x14ac:dyDescent="0.2">
      <c r="B27" s="102"/>
      <c r="C27" s="102"/>
      <c r="D27" s="102"/>
      <c r="E27" s="102"/>
      <c r="F27" s="102"/>
      <c r="G27" s="103"/>
      <c r="H27" s="405" t="s">
        <v>304</v>
      </c>
      <c r="I27" s="406"/>
      <c r="J27" s="165">
        <f>SUM(J11:J24)</f>
        <v>0</v>
      </c>
      <c r="K27" s="166"/>
    </row>
    <row r="28" spans="1:11" ht="24.95" customHeight="1" thickBot="1" x14ac:dyDescent="0.25">
      <c r="B28" s="10"/>
      <c r="C28" s="10"/>
      <c r="D28" s="48"/>
      <c r="E28" s="10"/>
      <c r="F28" s="10"/>
      <c r="G28" s="42"/>
      <c r="H28" s="407" t="s">
        <v>234</v>
      </c>
      <c r="I28" s="408"/>
      <c r="J28" s="167"/>
      <c r="K28" s="101">
        <f>SUM(K11:K24)</f>
        <v>0</v>
      </c>
    </row>
    <row r="29" spans="1:11" ht="24.95" customHeight="1" thickBot="1" x14ac:dyDescent="0.25">
      <c r="B29" s="10"/>
      <c r="C29" s="10"/>
      <c r="D29" s="10"/>
      <c r="E29" s="10"/>
      <c r="F29" s="422" t="str">
        <f>IF(COUNTIF(G11:G24,"No")&gt;0, "Non-Compliance", "Compliance")</f>
        <v>Compliance</v>
      </c>
      <c r="G29" s="423" t="str">
        <f>IF(COUNTIF(J12:J27,"No")&gt;0, "Non-Compliance", "Compliance")</f>
        <v>Compliance</v>
      </c>
      <c r="H29" s="409" t="s">
        <v>324</v>
      </c>
      <c r="I29" s="410"/>
      <c r="J29" s="409" t="str">
        <f>IF(J27&gt;=K28, "Compliance", "Non-Compliance")</f>
        <v>Compliance</v>
      </c>
      <c r="K29" s="413"/>
    </row>
    <row r="30" spans="1:11" ht="24.95" customHeight="1" thickBot="1" x14ac:dyDescent="0.25">
      <c r="B30" s="10"/>
      <c r="C30" s="10"/>
      <c r="D30" s="10"/>
      <c r="E30" s="10"/>
      <c r="F30" s="164"/>
      <c r="G30" s="164"/>
      <c r="H30" s="20"/>
      <c r="I30" s="20"/>
      <c r="J30" s="20"/>
      <c r="K30" s="20"/>
    </row>
    <row r="31" spans="1:11" ht="24.95" customHeight="1" thickBot="1" x14ac:dyDescent="0.3">
      <c r="B31" s="10"/>
      <c r="C31" s="10"/>
      <c r="D31" s="424" t="s">
        <v>325</v>
      </c>
      <c r="E31" s="425"/>
      <c r="F31" s="425"/>
      <c r="G31" s="425"/>
      <c r="H31" s="425" t="str">
        <f>IF(F29="Compliance", "Compliance",IF(J29="Compliance", "Compliance", "Non-Compliance"))</f>
        <v>Compliance</v>
      </c>
      <c r="I31" s="425"/>
      <c r="J31" s="426"/>
      <c r="K31" s="20"/>
    </row>
    <row r="34" spans="3:8" x14ac:dyDescent="0.2">
      <c r="C34" s="402" t="s">
        <v>224</v>
      </c>
      <c r="D34" s="403"/>
      <c r="E34" s="403"/>
      <c r="F34" s="404"/>
      <c r="G34" s="109"/>
      <c r="H34" s="20"/>
    </row>
    <row r="35" spans="3:8" x14ac:dyDescent="0.2">
      <c r="C35" s="96" t="s">
        <v>225</v>
      </c>
      <c r="D35" s="96" t="s">
        <v>12</v>
      </c>
      <c r="E35" s="96" t="s">
        <v>226</v>
      </c>
      <c r="F35" s="96" t="s">
        <v>230</v>
      </c>
      <c r="G35" s="20"/>
    </row>
    <row r="36" spans="3:8" x14ac:dyDescent="0.2">
      <c r="C36" s="96"/>
      <c r="D36" s="114" t="s">
        <v>306</v>
      </c>
      <c r="E36" s="96">
        <v>0</v>
      </c>
      <c r="F36" s="96">
        <v>0</v>
      </c>
      <c r="G36" s="20"/>
    </row>
    <row r="37" spans="3:8" x14ac:dyDescent="0.2">
      <c r="C37" s="95" t="s">
        <v>236</v>
      </c>
      <c r="D37" s="92">
        <v>1</v>
      </c>
      <c r="E37" s="95"/>
      <c r="F37" s="95"/>
      <c r="G37" s="10"/>
    </row>
    <row r="38" spans="3:8" x14ac:dyDescent="0.2">
      <c r="C38" s="95" t="s">
        <v>412</v>
      </c>
      <c r="D38" s="96" t="s">
        <v>218</v>
      </c>
      <c r="E38" s="168">
        <v>46.2</v>
      </c>
      <c r="F38" s="95">
        <v>113</v>
      </c>
      <c r="G38" s="10"/>
    </row>
    <row r="39" spans="3:8" x14ac:dyDescent="0.2">
      <c r="C39" s="95" t="s">
        <v>221</v>
      </c>
      <c r="D39" s="96" t="s">
        <v>219</v>
      </c>
      <c r="E39" s="168">
        <v>42</v>
      </c>
      <c r="F39" s="95">
        <v>171</v>
      </c>
      <c r="G39" s="10"/>
    </row>
    <row r="40" spans="3:8" x14ac:dyDescent="0.2">
      <c r="C40" s="95" t="s">
        <v>222</v>
      </c>
      <c r="D40" s="96" t="s">
        <v>220</v>
      </c>
      <c r="E40" s="168">
        <v>40</v>
      </c>
      <c r="F40" s="95">
        <v>123</v>
      </c>
      <c r="G40" s="10"/>
    </row>
    <row r="41" spans="3:8" x14ac:dyDescent="0.2">
      <c r="C41" s="95" t="s">
        <v>235</v>
      </c>
      <c r="D41" s="92">
        <v>2</v>
      </c>
      <c r="E41" s="168"/>
      <c r="F41" s="95"/>
      <c r="G41" s="10"/>
    </row>
    <row r="42" spans="3:8" x14ac:dyDescent="0.2">
      <c r="C42" s="95" t="s">
        <v>413</v>
      </c>
      <c r="D42" s="96" t="s">
        <v>227</v>
      </c>
      <c r="E42" s="168">
        <v>38.4</v>
      </c>
      <c r="F42" s="95">
        <v>88</v>
      </c>
      <c r="G42" s="10"/>
    </row>
    <row r="43" spans="3:8" x14ac:dyDescent="0.2">
      <c r="C43" s="95" t="s">
        <v>241</v>
      </c>
      <c r="D43" s="96" t="s">
        <v>228</v>
      </c>
      <c r="E43" s="168">
        <v>45</v>
      </c>
      <c r="F43" s="95">
        <v>188</v>
      </c>
      <c r="G43" s="10"/>
    </row>
    <row r="44" spans="3:8" x14ac:dyDescent="0.2">
      <c r="C44" s="95" t="s">
        <v>237</v>
      </c>
      <c r="D44" s="96" t="s">
        <v>229</v>
      </c>
      <c r="E44" s="168">
        <v>33.6</v>
      </c>
      <c r="F44" s="95">
        <v>87</v>
      </c>
      <c r="G44" s="10"/>
    </row>
    <row r="45" spans="3:8" x14ac:dyDescent="0.2">
      <c r="C45" s="95" t="s">
        <v>238</v>
      </c>
      <c r="D45" s="92">
        <v>3</v>
      </c>
      <c r="E45" s="168"/>
      <c r="F45" s="95"/>
      <c r="G45" s="10"/>
    </row>
    <row r="46" spans="3:8" x14ac:dyDescent="0.2">
      <c r="C46" s="95" t="s">
        <v>414</v>
      </c>
      <c r="D46" s="96" t="s">
        <v>239</v>
      </c>
      <c r="E46" s="168">
        <v>43</v>
      </c>
      <c r="F46" s="95">
        <v>254</v>
      </c>
      <c r="G46" s="10"/>
    </row>
    <row r="47" spans="3:8" x14ac:dyDescent="0.2">
      <c r="C47" s="95" t="s">
        <v>415</v>
      </c>
      <c r="D47" s="96" t="s">
        <v>240</v>
      </c>
      <c r="E47" s="168">
        <v>91.4</v>
      </c>
      <c r="F47" s="95">
        <v>254</v>
      </c>
      <c r="G47" s="10"/>
    </row>
    <row r="48" spans="3:8" x14ac:dyDescent="0.2">
      <c r="C48" s="95" t="s">
        <v>243</v>
      </c>
      <c r="D48" s="96" t="s">
        <v>242</v>
      </c>
      <c r="E48" s="168">
        <v>45.9</v>
      </c>
      <c r="F48" s="95">
        <v>157</v>
      </c>
      <c r="G48" s="10"/>
    </row>
    <row r="49" spans="3:7" x14ac:dyDescent="0.2">
      <c r="C49" s="95" t="s">
        <v>244</v>
      </c>
      <c r="D49" s="92">
        <v>4</v>
      </c>
      <c r="E49" s="168"/>
      <c r="F49" s="95"/>
      <c r="G49" s="10"/>
    </row>
    <row r="50" spans="3:7" x14ac:dyDescent="0.2">
      <c r="C50" s="95" t="s">
        <v>416</v>
      </c>
      <c r="D50" s="96" t="s">
        <v>260</v>
      </c>
      <c r="E50" s="168">
        <v>60</v>
      </c>
      <c r="F50" s="95">
        <v>497</v>
      </c>
      <c r="G50" s="10"/>
    </row>
    <row r="51" spans="3:7" x14ac:dyDescent="0.2">
      <c r="C51" s="95" t="s">
        <v>245</v>
      </c>
      <c r="D51" s="96" t="s">
        <v>261</v>
      </c>
      <c r="E51" s="168">
        <v>60</v>
      </c>
      <c r="F51" s="95">
        <v>270</v>
      </c>
      <c r="G51" s="10"/>
    </row>
    <row r="52" spans="3:7" x14ac:dyDescent="0.2">
      <c r="C52" s="95" t="s">
        <v>246</v>
      </c>
      <c r="D52" s="96" t="s">
        <v>262</v>
      </c>
      <c r="E52" s="168">
        <v>60</v>
      </c>
      <c r="F52" s="95">
        <v>238</v>
      </c>
      <c r="G52" s="10"/>
    </row>
    <row r="53" spans="3:7" x14ac:dyDescent="0.2">
      <c r="C53" s="95" t="s">
        <v>401</v>
      </c>
      <c r="D53" s="92">
        <v>5</v>
      </c>
      <c r="E53" s="168"/>
      <c r="F53" s="95"/>
      <c r="G53" s="10"/>
    </row>
    <row r="54" spans="3:7" x14ac:dyDescent="0.2">
      <c r="C54" s="95" t="s">
        <v>417</v>
      </c>
      <c r="D54" s="96" t="s">
        <v>263</v>
      </c>
      <c r="E54" s="168">
        <v>50</v>
      </c>
      <c r="F54" s="95">
        <v>354</v>
      </c>
      <c r="G54" s="10"/>
    </row>
    <row r="55" spans="3:7" x14ac:dyDescent="0.2">
      <c r="C55" s="95" t="s">
        <v>247</v>
      </c>
      <c r="D55" s="96" t="s">
        <v>264</v>
      </c>
      <c r="E55" s="168">
        <v>50</v>
      </c>
      <c r="F55" s="95">
        <v>215</v>
      </c>
      <c r="G55" s="10"/>
    </row>
    <row r="56" spans="3:7" x14ac:dyDescent="0.2">
      <c r="C56" s="95" t="s">
        <v>248</v>
      </c>
      <c r="D56" s="96" t="s">
        <v>265</v>
      </c>
      <c r="E56" s="168">
        <v>50</v>
      </c>
      <c r="F56" s="95">
        <v>180</v>
      </c>
      <c r="G56" s="10"/>
    </row>
    <row r="57" spans="3:7" x14ac:dyDescent="0.2">
      <c r="C57" s="95" t="s">
        <v>249</v>
      </c>
      <c r="D57" s="92">
        <v>6</v>
      </c>
      <c r="E57" s="168"/>
      <c r="F57" s="95"/>
      <c r="G57" s="10"/>
    </row>
    <row r="58" spans="3:7" x14ac:dyDescent="0.2">
      <c r="C58" s="95" t="s">
        <v>250</v>
      </c>
      <c r="D58" s="96" t="s">
        <v>266</v>
      </c>
      <c r="E58" s="168">
        <v>40</v>
      </c>
      <c r="F58" s="95">
        <v>440</v>
      </c>
      <c r="G58" s="10"/>
    </row>
    <row r="59" spans="3:7" x14ac:dyDescent="0.2">
      <c r="C59" s="95" t="s">
        <v>251</v>
      </c>
      <c r="D59" s="96" t="s">
        <v>267</v>
      </c>
      <c r="E59" s="168">
        <v>30</v>
      </c>
      <c r="F59" s="95">
        <v>267</v>
      </c>
      <c r="G59" s="10"/>
    </row>
    <row r="60" spans="3:7" x14ac:dyDescent="0.2">
      <c r="C60" s="95" t="s">
        <v>252</v>
      </c>
      <c r="D60" s="96" t="s">
        <v>268</v>
      </c>
      <c r="E60" s="168">
        <v>37</v>
      </c>
      <c r="F60" s="95">
        <v>377</v>
      </c>
      <c r="G60" s="10"/>
    </row>
    <row r="61" spans="3:7" x14ac:dyDescent="0.2">
      <c r="C61" s="95" t="s">
        <v>253</v>
      </c>
      <c r="D61" s="96" t="s">
        <v>269</v>
      </c>
      <c r="E61" s="168">
        <v>48</v>
      </c>
      <c r="F61" s="95">
        <v>605</v>
      </c>
      <c r="G61" s="10"/>
    </row>
    <row r="62" spans="3:7" x14ac:dyDescent="0.2">
      <c r="C62" s="95" t="s">
        <v>254</v>
      </c>
      <c r="D62" s="96" t="s">
        <v>270</v>
      </c>
      <c r="E62" s="168">
        <v>60</v>
      </c>
      <c r="F62" s="95">
        <v>854</v>
      </c>
      <c r="G62" s="10"/>
    </row>
    <row r="63" spans="3:7" x14ac:dyDescent="0.2">
      <c r="C63" s="95" t="s">
        <v>255</v>
      </c>
      <c r="D63" s="96" t="s">
        <v>271</v>
      </c>
      <c r="E63" s="168">
        <v>44</v>
      </c>
      <c r="F63" s="95">
        <v>522</v>
      </c>
      <c r="G63" s="10"/>
    </row>
    <row r="64" spans="3:7" x14ac:dyDescent="0.2">
      <c r="C64" s="95" t="s">
        <v>256</v>
      </c>
      <c r="D64" s="92">
        <v>7</v>
      </c>
      <c r="E64" s="168">
        <v>48</v>
      </c>
      <c r="F64" s="95">
        <v>25</v>
      </c>
      <c r="G64" s="10"/>
    </row>
    <row r="65" spans="3:7" x14ac:dyDescent="0.2">
      <c r="C65" s="95" t="s">
        <v>257</v>
      </c>
      <c r="D65" s="92">
        <v>8</v>
      </c>
      <c r="E65" s="168">
        <v>37.5</v>
      </c>
      <c r="F65" s="95">
        <v>20</v>
      </c>
      <c r="G65" s="10"/>
    </row>
    <row r="66" spans="3:7" x14ac:dyDescent="0.2">
      <c r="C66" s="95" t="s">
        <v>258</v>
      </c>
      <c r="D66" s="92">
        <v>9</v>
      </c>
      <c r="E66" s="168"/>
      <c r="F66" s="95"/>
      <c r="G66" s="10"/>
    </row>
    <row r="67" spans="3:7" x14ac:dyDescent="0.2">
      <c r="C67" s="95" t="s">
        <v>405</v>
      </c>
      <c r="D67" s="92">
        <v>10</v>
      </c>
      <c r="E67" s="168"/>
      <c r="F67" s="95"/>
      <c r="G67" s="10"/>
    </row>
  </sheetData>
  <mergeCells count="15">
    <mergeCell ref="A9:A10"/>
    <mergeCell ref="F29:G29"/>
    <mergeCell ref="D31:G31"/>
    <mergeCell ref="H31:J31"/>
    <mergeCell ref="D9:D10"/>
    <mergeCell ref="A1:K1"/>
    <mergeCell ref="C34:F34"/>
    <mergeCell ref="H27:I27"/>
    <mergeCell ref="H28:I28"/>
    <mergeCell ref="H29:I29"/>
    <mergeCell ref="J9:K9"/>
    <mergeCell ref="J29:K29"/>
    <mergeCell ref="E9:G9"/>
    <mergeCell ref="B9:B10"/>
    <mergeCell ref="C9:C10"/>
  </mergeCells>
  <phoneticPr fontId="0" type="noConversion"/>
  <pageMargins left="0.25" right="0.25" top="0.5" bottom="0.5" header="0.3" footer="0.3"/>
  <pageSetup scale="90" fitToHeight="3" orientation="landscape" verticalDpi="0" r:id="rId1"/>
  <headerFooter alignWithMargins="0"/>
  <rowBreaks count="1" manualBreakCount="1">
    <brk id="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sqref="A1:B1"/>
    </sheetView>
  </sheetViews>
  <sheetFormatPr defaultRowHeight="12.75" x14ac:dyDescent="0.2"/>
  <cols>
    <col min="1" max="1" width="32.85546875" bestFit="1" customWidth="1"/>
    <col min="2" max="2" width="24.42578125" bestFit="1" customWidth="1"/>
  </cols>
  <sheetData>
    <row r="1" spans="1:15" ht="33" x14ac:dyDescent="0.45">
      <c r="A1" s="393" t="s">
        <v>428</v>
      </c>
      <c r="B1" s="393"/>
      <c r="C1" s="93"/>
      <c r="D1" s="93"/>
      <c r="E1" s="93"/>
      <c r="F1" s="93"/>
      <c r="G1" s="93"/>
      <c r="H1" s="93"/>
      <c r="I1" s="93"/>
      <c r="J1" s="93"/>
      <c r="K1" s="93"/>
      <c r="L1" s="93"/>
      <c r="M1" s="93"/>
      <c r="N1" s="93"/>
      <c r="O1" s="93"/>
    </row>
    <row r="2" spans="1:15" s="37" customFormat="1" x14ac:dyDescent="0.2">
      <c r="B2" s="36"/>
      <c r="C2" s="36"/>
      <c r="D2" s="36"/>
      <c r="E2" s="36"/>
      <c r="F2" s="36"/>
      <c r="G2" s="36"/>
      <c r="H2" s="36"/>
      <c r="I2" s="36"/>
      <c r="J2" s="36"/>
      <c r="K2" s="36"/>
      <c r="L2" s="36"/>
    </row>
    <row r="3" spans="1:15" s="35" customFormat="1" ht="18" x14ac:dyDescent="0.25">
      <c r="A3" s="33" t="s">
        <v>76</v>
      </c>
      <c r="B3" s="39">
        <f>'Data-Collection'!E4</f>
        <v>0</v>
      </c>
      <c r="D3" s="39"/>
      <c r="E3" s="39"/>
      <c r="F3" s="39"/>
      <c r="G3" s="34"/>
      <c r="H3" s="34"/>
      <c r="I3" s="34"/>
      <c r="J3" s="34"/>
      <c r="K3" s="34"/>
      <c r="L3" s="34"/>
    </row>
    <row r="4" spans="1:15" s="35" customFormat="1" ht="18" x14ac:dyDescent="0.25">
      <c r="A4" s="33" t="s">
        <v>79</v>
      </c>
      <c r="B4" s="39" t="str">
        <f>'Data-Collection'!E5</f>
        <v xml:space="preserve">|_0_|_0_|_0_|_0_|  </v>
      </c>
      <c r="D4" s="39"/>
      <c r="E4" s="39"/>
      <c r="F4" s="39"/>
      <c r="G4" s="34"/>
      <c r="H4" s="34"/>
      <c r="I4" s="34"/>
      <c r="J4" s="34"/>
      <c r="K4" s="34"/>
      <c r="L4" s="34"/>
    </row>
    <row r="5" spans="1:15" s="35" customFormat="1" ht="18" x14ac:dyDescent="0.25">
      <c r="A5" s="33" t="s">
        <v>77</v>
      </c>
      <c r="B5" s="39">
        <f>'Data-Collection'!K4</f>
        <v>0</v>
      </c>
      <c r="D5" s="39"/>
      <c r="E5" s="39"/>
      <c r="F5" s="39"/>
      <c r="G5" s="34"/>
      <c r="H5" s="34"/>
      <c r="I5" s="34"/>
      <c r="J5" s="34"/>
      <c r="K5" s="34"/>
      <c r="L5" s="34"/>
    </row>
    <row r="6" spans="1:15" s="35" customFormat="1" ht="18" x14ac:dyDescent="0.25">
      <c r="A6" s="33" t="s">
        <v>78</v>
      </c>
      <c r="B6" s="39" t="str">
        <f>'Data-Collection'!K5</f>
        <v>|_0_|_0_|_0_|_0_|_0_|</v>
      </c>
      <c r="D6" s="39"/>
      <c r="E6" s="39"/>
      <c r="F6" s="39"/>
      <c r="G6" s="34"/>
      <c r="H6" s="34"/>
      <c r="I6" s="34"/>
      <c r="J6" s="34"/>
      <c r="K6" s="34"/>
      <c r="L6" s="34"/>
    </row>
    <row r="7" spans="1:15" s="35" customFormat="1" ht="18" x14ac:dyDescent="0.25">
      <c r="A7" s="38" t="s">
        <v>80</v>
      </c>
      <c r="B7" s="39" t="str">
        <f>'Data-Collection'!A3</f>
        <v>20_ _</v>
      </c>
      <c r="D7" s="39"/>
      <c r="E7" s="39"/>
      <c r="F7" s="39"/>
      <c r="G7" s="34"/>
      <c r="H7" s="34"/>
      <c r="I7" s="34"/>
      <c r="J7" s="34"/>
      <c r="K7" s="34"/>
      <c r="L7" s="34"/>
    </row>
    <row r="9" spans="1:15" ht="15.75" x14ac:dyDescent="0.25">
      <c r="A9" s="180" t="s">
        <v>443</v>
      </c>
      <c r="B9" s="181"/>
    </row>
    <row r="10" spans="1:15" ht="15.75" x14ac:dyDescent="0.25">
      <c r="A10" s="180" t="s">
        <v>434</v>
      </c>
      <c r="B10" s="181">
        <f>Emission_Cals!S98</f>
        <v>0</v>
      </c>
    </row>
    <row r="11" spans="1:15" ht="15.75" x14ac:dyDescent="0.25">
      <c r="A11" s="180" t="s">
        <v>435</v>
      </c>
      <c r="B11" s="181">
        <f>Emission_Cals!S90</f>
        <v>0</v>
      </c>
    </row>
    <row r="12" spans="1:15" ht="15.75" x14ac:dyDescent="0.25">
      <c r="A12" s="180"/>
      <c r="B12" s="181"/>
    </row>
    <row r="13" spans="1:15" ht="15.75" x14ac:dyDescent="0.25">
      <c r="A13" s="180" t="s">
        <v>429</v>
      </c>
      <c r="B13" s="181">
        <f>'Data-Collection'!P4</f>
        <v>0</v>
      </c>
    </row>
    <row r="14" spans="1:15" ht="15.75" x14ac:dyDescent="0.25">
      <c r="A14" s="182"/>
      <c r="B14" s="182"/>
    </row>
    <row r="15" spans="1:15" ht="15.75" x14ac:dyDescent="0.25">
      <c r="A15" s="182" t="s">
        <v>430</v>
      </c>
      <c r="B15" s="183" t="str">
        <f>IF(B13&gt;=B11,"In Compliance","Non-Compliance")</f>
        <v>In Compliance</v>
      </c>
    </row>
    <row r="16" spans="1:15" ht="15.75" x14ac:dyDescent="0.25">
      <c r="A16" s="182"/>
      <c r="B16" s="182"/>
    </row>
    <row r="17" spans="1:2" ht="15.75" x14ac:dyDescent="0.25">
      <c r="A17" s="182"/>
      <c r="B17" s="182"/>
    </row>
  </sheetData>
  <mergeCells count="1">
    <mergeCell ref="A1:B1"/>
  </mergeCells>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H45"/>
  <sheetViews>
    <sheetView topLeftCell="A25" workbookViewId="0">
      <selection sqref="A1:AH1"/>
    </sheetView>
  </sheetViews>
  <sheetFormatPr defaultRowHeight="12.75" x14ac:dyDescent="0.2"/>
  <cols>
    <col min="1" max="1" width="92.7109375" bestFit="1" customWidth="1"/>
    <col min="3" max="3" width="9.7109375" style="16" bestFit="1" customWidth="1"/>
    <col min="4" max="4" width="9.5703125" style="16" bestFit="1" customWidth="1"/>
    <col min="5" max="18" width="9.5703125" style="16" customWidth="1"/>
  </cols>
  <sheetData>
    <row r="1" spans="1:34" ht="33" x14ac:dyDescent="0.45">
      <c r="A1" s="393" t="s">
        <v>297</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row>
    <row r="2" spans="1:34" x14ac:dyDescent="0.2">
      <c r="A2" s="429" t="s">
        <v>421</v>
      </c>
      <c r="B2" s="430"/>
      <c r="C2" s="427">
        <f>'Data-Collection'!C7</f>
        <v>1</v>
      </c>
      <c r="D2" s="428"/>
      <c r="E2" s="427">
        <f>'Data-Collection'!D7</f>
        <v>2</v>
      </c>
      <c r="F2" s="428"/>
      <c r="G2" s="427">
        <f>'Data-Collection'!E7</f>
        <v>3</v>
      </c>
      <c r="H2" s="428"/>
      <c r="I2" s="427">
        <f>'Data-Collection'!F7</f>
        <v>4</v>
      </c>
      <c r="J2" s="428"/>
      <c r="K2" s="427">
        <f>'Data-Collection'!G7</f>
        <v>5</v>
      </c>
      <c r="L2" s="428"/>
      <c r="M2" s="427">
        <f>'Data-Collection'!H7</f>
        <v>6</v>
      </c>
      <c r="N2" s="428"/>
      <c r="O2" s="427">
        <f>'Data-Collection'!I7</f>
        <v>7</v>
      </c>
      <c r="P2" s="428"/>
      <c r="Q2" s="427">
        <f>'Data-Collection'!J7</f>
        <v>8</v>
      </c>
      <c r="R2" s="428"/>
      <c r="S2" s="427">
        <f>'Data-Collection'!K7</f>
        <v>9</v>
      </c>
      <c r="T2" s="428"/>
      <c r="U2" s="427">
        <f>'Data-Collection'!L7</f>
        <v>10</v>
      </c>
      <c r="V2" s="428"/>
      <c r="W2" s="427">
        <f>'Data-Collection'!M7</f>
        <v>11</v>
      </c>
      <c r="X2" s="428"/>
      <c r="Y2" s="427">
        <f>'Data-Collection'!N7</f>
        <v>12</v>
      </c>
      <c r="Z2" s="428"/>
      <c r="AA2" s="427">
        <f>'Data-Collection'!O7</f>
        <v>13</v>
      </c>
      <c r="AB2" s="428"/>
      <c r="AC2" s="427">
        <f>'Data-Collection'!P7</f>
        <v>14</v>
      </c>
      <c r="AD2" s="428"/>
      <c r="AE2" s="427">
        <f>'Data-Collection'!Q7</f>
        <v>15</v>
      </c>
      <c r="AF2" s="428"/>
      <c r="AG2" s="427">
        <f>'Data-Collection'!R7</f>
        <v>16</v>
      </c>
      <c r="AH2" s="428"/>
    </row>
    <row r="3" spans="1:34" x14ac:dyDescent="0.2">
      <c r="A3" s="431"/>
      <c r="B3" s="432"/>
      <c r="C3" s="256" t="s">
        <v>69</v>
      </c>
      <c r="D3" s="257" t="s">
        <v>70</v>
      </c>
      <c r="E3" s="256" t="s">
        <v>69</v>
      </c>
      <c r="F3" s="257" t="s">
        <v>70</v>
      </c>
      <c r="G3" s="256" t="s">
        <v>69</v>
      </c>
      <c r="H3" s="257" t="s">
        <v>70</v>
      </c>
      <c r="I3" s="256" t="s">
        <v>69</v>
      </c>
      <c r="J3" s="257" t="s">
        <v>70</v>
      </c>
      <c r="K3" s="256" t="s">
        <v>69</v>
      </c>
      <c r="L3" s="257" t="s">
        <v>70</v>
      </c>
      <c r="M3" s="256" t="s">
        <v>69</v>
      </c>
      <c r="N3" s="257" t="s">
        <v>70</v>
      </c>
      <c r="O3" s="256" t="s">
        <v>69</v>
      </c>
      <c r="P3" s="257" t="s">
        <v>70</v>
      </c>
      <c r="Q3" s="256" t="s">
        <v>69</v>
      </c>
      <c r="R3" s="257" t="s">
        <v>70</v>
      </c>
      <c r="S3" s="256" t="s">
        <v>69</v>
      </c>
      <c r="T3" s="257" t="s">
        <v>70</v>
      </c>
      <c r="U3" s="256" t="s">
        <v>69</v>
      </c>
      <c r="V3" s="257" t="s">
        <v>70</v>
      </c>
      <c r="W3" s="256" t="s">
        <v>69</v>
      </c>
      <c r="X3" s="257" t="s">
        <v>70</v>
      </c>
      <c r="Y3" s="256" t="s">
        <v>69</v>
      </c>
      <c r="Z3" s="257" t="s">
        <v>70</v>
      </c>
      <c r="AA3" s="256" t="s">
        <v>69</v>
      </c>
      <c r="AB3" s="257" t="s">
        <v>70</v>
      </c>
      <c r="AC3" s="256" t="s">
        <v>69</v>
      </c>
      <c r="AD3" s="257" t="s">
        <v>70</v>
      </c>
      <c r="AE3" s="256" t="s">
        <v>69</v>
      </c>
      <c r="AF3" s="257" t="s">
        <v>70</v>
      </c>
      <c r="AG3" s="256" t="s">
        <v>69</v>
      </c>
      <c r="AH3" s="257" t="s">
        <v>70</v>
      </c>
    </row>
    <row r="4" spans="1:34" x14ac:dyDescent="0.2">
      <c r="A4" s="264" t="str">
        <f>'Data-Collection'!B85</f>
        <v>A - Open Molding - Manual Application - Nonvapor-suppressed resin</v>
      </c>
      <c r="B4" s="268" t="s">
        <v>41</v>
      </c>
      <c r="C4" s="258">
        <f>0.126*(Emission_Cals!$C$17/100)*2000</f>
        <v>0</v>
      </c>
      <c r="D4" s="259">
        <f>((0.286*(Emission_Cals!$C$17/100))-0.0529)*2000</f>
        <v>-105.80000000000001</v>
      </c>
      <c r="E4" s="258">
        <f>0.126*(Emission_Cals!$D$17/100)*2000</f>
        <v>0</v>
      </c>
      <c r="F4" s="259">
        <f>((0.286*(Emission_Cals!$D$17/100))-0.0529)*2000</f>
        <v>-105.80000000000001</v>
      </c>
      <c r="G4" s="258">
        <f>0.126*(Emission_Cals!$E$17/100)*2000</f>
        <v>0</v>
      </c>
      <c r="H4" s="259">
        <f>((0.286*(Emission_Cals!$E$17/100))-0.0529)*2000</f>
        <v>-105.80000000000001</v>
      </c>
      <c r="I4" s="258">
        <f>0.126*(Emission_Cals!$F$17/100)*2000</f>
        <v>0</v>
      </c>
      <c r="J4" s="259">
        <f>((0.286*(Emission_Cals!$F$17/100))-0.0529)*2000</f>
        <v>-105.80000000000001</v>
      </c>
      <c r="K4" s="258">
        <f>0.126*(Emission_Cals!$G$17/100)*2000</f>
        <v>0</v>
      </c>
      <c r="L4" s="259">
        <f>((0.286*(Emission_Cals!$G$17/100))-0.0529)*2000</f>
        <v>-105.80000000000001</v>
      </c>
      <c r="M4" s="258">
        <f>0.126*(Emission_Cals!$H$17/100)*2000</f>
        <v>0</v>
      </c>
      <c r="N4" s="259">
        <f>((0.286*(Emission_Cals!$HE$17/100))-0.0529)*2000</f>
        <v>-105.80000000000001</v>
      </c>
      <c r="O4" s="258">
        <f>0.126*(Emission_Cals!$I$17/100)*2000</f>
        <v>0</v>
      </c>
      <c r="P4" s="259">
        <f>((0.286*(Emission_Cals!$I$17/100))-0.0529)*2000</f>
        <v>-105.80000000000001</v>
      </c>
      <c r="Q4" s="258">
        <f>0.126*(Emission_Cals!$J$17/100)*2000</f>
        <v>0</v>
      </c>
      <c r="R4" s="259">
        <f>((0.286*(Emission_Cals!$J$17/100))-0.0529)*2000</f>
        <v>-105.80000000000001</v>
      </c>
      <c r="S4" s="258">
        <f>0.126*(Emission_Cals!$K$17/100)*2000</f>
        <v>0</v>
      </c>
      <c r="T4" s="259">
        <f>((0.286*(Emission_Cals!$K$17/100))-0.0529)*2000</f>
        <v>-105.80000000000001</v>
      </c>
      <c r="U4" s="258">
        <f>0.126*(Emission_Cals!$L$17/100)*2000</f>
        <v>0</v>
      </c>
      <c r="V4" s="259">
        <f>((0.286*(Emission_Cals!$L$17/100))-0.0529)*2000</f>
        <v>-105.80000000000001</v>
      </c>
      <c r="W4" s="258">
        <f>0.126*(Emission_Cals!$M$17/100)*2000</f>
        <v>0</v>
      </c>
      <c r="X4" s="259">
        <f>((0.286*(Emission_Cals!$M$17/100))-0.0529)*2000</f>
        <v>-105.80000000000001</v>
      </c>
      <c r="Y4" s="258">
        <f>0.126*(Emission_Cals!$N$17/100)*2000</f>
        <v>0</v>
      </c>
      <c r="Z4" s="259">
        <f>((0.286*(Emission_Cals!$N$17/100))-0.0529)*2000</f>
        <v>-105.80000000000001</v>
      </c>
      <c r="AA4" s="258">
        <f>0.126*(Emission_Cals!$O$17/100)*2000</f>
        <v>0</v>
      </c>
      <c r="AB4" s="259">
        <f>((0.286*(Emission_Cals!$O$17/100))-0.0529)*2000</f>
        <v>-105.80000000000001</v>
      </c>
      <c r="AC4" s="258">
        <f>0.126*(Emission_Cals!$P$17/100)*2000</f>
        <v>0</v>
      </c>
      <c r="AD4" s="259">
        <f>((0.286*(Emission_Cals!$P$17/100))-0.0529)*2000</f>
        <v>-105.80000000000001</v>
      </c>
      <c r="AE4" s="258">
        <f>0.126*(Emission_Cals!$Q$17/100)*2000</f>
        <v>0</v>
      </c>
      <c r="AF4" s="259">
        <f>((0.286*(Emission_Cals!$Q$17/100))-0.0529)*2000</f>
        <v>-105.80000000000001</v>
      </c>
      <c r="AG4" s="258">
        <f>0.126*(Emission_Cals!$R$17/100)*2000</f>
        <v>0</v>
      </c>
      <c r="AH4" s="259">
        <f>((0.286*(Emission_Cals!$R$17/100))-0.0529)*2000</f>
        <v>-105.80000000000001</v>
      </c>
    </row>
    <row r="5" spans="1:34" x14ac:dyDescent="0.2">
      <c r="A5" s="264" t="str">
        <f>'Data-Collection'!B86</f>
        <v>B - Open Molding - Manual Application - Vapor-suppressed resin</v>
      </c>
      <c r="B5" s="268" t="s">
        <v>44</v>
      </c>
      <c r="C5" s="258">
        <f>0.126*(Emission_Cals!$C$17/100)*2000*(1-(0.5*Emission_Cals!$C$20))</f>
        <v>0</v>
      </c>
      <c r="D5" s="259">
        <f>((0.286*(Emission_Cals!$C$17/100))-0.0529)*2000*(1-(0.5*Emission_Cals!$C$20))</f>
        <v>-105.80000000000001</v>
      </c>
      <c r="E5" s="258">
        <f>0.126*(Emission_Cals!$D$17/100)*2000*(1-(0.5*Emission_Cals!$D$20))</f>
        <v>0</v>
      </c>
      <c r="F5" s="259">
        <f>((0.286*(Emission_Cals!$D$17/100))-0.0529)*2000*(1-(0.5*Emission_Cals!$D$20))</f>
        <v>-105.80000000000001</v>
      </c>
      <c r="G5" s="258">
        <f>0.126*(Emission_Cals!$E$17/100)*2000*(1-(0.5*Emission_Cals!$E$20))</f>
        <v>0</v>
      </c>
      <c r="H5" s="259">
        <f>((0.286*(Emission_Cals!$E$17/100))-0.0529)*2000*(1-(0.5*Emission_Cals!$E$20))</f>
        <v>-105.80000000000001</v>
      </c>
      <c r="I5" s="258">
        <f>0.126*(Emission_Cals!$F$17/100)*2000*(1-(0.5*Emission_Cals!$F$20))</f>
        <v>0</v>
      </c>
      <c r="J5" s="259">
        <f>((0.286*(Emission_Cals!$F$17/100))-0.0529)*2000*(1-(0.5*Emission_Cals!$F$20))</f>
        <v>-105.80000000000001</v>
      </c>
      <c r="K5" s="258">
        <f>0.126*(Emission_Cals!$G$17/100)*2000*(1-(0.5*Emission_Cals!$G$20))</f>
        <v>0</v>
      </c>
      <c r="L5" s="259">
        <f>((0.286*(Emission_Cals!$G$17/100))-0.0529)*2000*(1-(0.5*Emission_Cals!$G$20))</f>
        <v>-105.80000000000001</v>
      </c>
      <c r="M5" s="258">
        <f>0.126*(Emission_Cals!$H$17/100)*2000*(1-(0.5*Emission_Cals!$H$20))</f>
        <v>0</v>
      </c>
      <c r="N5" s="259">
        <f>((0.286*(Emission_Cals!$H$17/100))-0.0529)*2000*(1-(0.5*Emission_Cals!$H$20))</f>
        <v>-105.80000000000001</v>
      </c>
      <c r="O5" s="258">
        <f>0.126*(Emission_Cals!$I$17/100)*2000*(1-(0.5*Emission_Cals!$I$20))</f>
        <v>0</v>
      </c>
      <c r="P5" s="259">
        <f>((0.286*(Emission_Cals!$I$17/100))-0.0529)*2000*(1-(0.5*Emission_Cals!$I$20))</f>
        <v>-105.80000000000001</v>
      </c>
      <c r="Q5" s="258">
        <f>0.126*(Emission_Cals!$J$17/100)*2000*(1-(0.5*Emission_Cals!$J$20))</f>
        <v>0</v>
      </c>
      <c r="R5" s="259">
        <f>((0.286*(Emission_Cals!$J$17/100))-0.0529)*2000*(1-(0.5*Emission_Cals!$J$20))</f>
        <v>-105.80000000000001</v>
      </c>
      <c r="S5" s="258">
        <f>0.126*(Emission_Cals!$K$17/100)*2000*(1-(0.5*Emission_Cals!$K$20))</f>
        <v>0</v>
      </c>
      <c r="T5" s="259">
        <f>((0.286*(Emission_Cals!$K$17/100))-0.0529)*2000*(1-(0.5*Emission_Cals!$K$20))</f>
        <v>-105.80000000000001</v>
      </c>
      <c r="U5" s="258">
        <f>0.126*(Emission_Cals!$L$17/100)*2000*(1-(0.5*Emission_Cals!$L$20))</f>
        <v>0</v>
      </c>
      <c r="V5" s="259">
        <f>((0.286*(Emission_Cals!$L$17/100))-0.0529)*2000*(1-(0.5*Emission_Cals!$L$20))</f>
        <v>-105.80000000000001</v>
      </c>
      <c r="W5" s="258">
        <f>0.126*(Emission_Cals!$M$17/100)*2000*(1-(0.5*Emission_Cals!$M$20))</f>
        <v>0</v>
      </c>
      <c r="X5" s="259">
        <f>((0.286*(Emission_Cals!$M$17/100))-0.0529)*2000*(1-(0.5*Emission_Cals!$M$20))</f>
        <v>-105.80000000000001</v>
      </c>
      <c r="Y5" s="258">
        <f>0.126*(Emission_Cals!$N$17/100)*2000*(1-(0.5*Emission_Cals!$N$20))</f>
        <v>0</v>
      </c>
      <c r="Z5" s="259">
        <f>((0.286*(Emission_Cals!$N$17/100))-0.0529)*2000*(1-(0.5*Emission_Cals!$N$20))</f>
        <v>-105.80000000000001</v>
      </c>
      <c r="AA5" s="258">
        <f>0.126*(Emission_Cals!$O$17/100)*2000*(1-(0.5*Emission_Cals!$O$20))</f>
        <v>0</v>
      </c>
      <c r="AB5" s="259">
        <f>((0.286*(Emission_Cals!$O$17/100))-0.0529)*2000*(1-(0.5*Emission_Cals!$O$20))</f>
        <v>-105.80000000000001</v>
      </c>
      <c r="AC5" s="258">
        <f>0.126*(Emission_Cals!$P$17/100)*2000*(1-(0.5*Emission_Cals!$P$20))</f>
        <v>0</v>
      </c>
      <c r="AD5" s="259">
        <f>((0.286*(Emission_Cals!$P$17/100))-0.0529)*2000*(1-(0.5*Emission_Cals!$P$20))</f>
        <v>-105.80000000000001</v>
      </c>
      <c r="AE5" s="258">
        <f>0.126*(Emission_Cals!$Q$17/100)*2000*(1-(0.5*Emission_Cals!$Q$20))</f>
        <v>0</v>
      </c>
      <c r="AF5" s="259">
        <f>((0.286*(Emission_Cals!$Q$17/100))-0.0529)*2000*(1-(0.5*Emission_Cals!$Q$20))</f>
        <v>-105.80000000000001</v>
      </c>
      <c r="AG5" s="258">
        <f>0.126*(Emission_Cals!$R$17/100)*2000*(1-(0.5*Emission_Cals!$R$20))</f>
        <v>0</v>
      </c>
      <c r="AH5" s="259">
        <f>((0.286*(Emission_Cals!$R$17/100))-0.0529)*2000*(1-(0.5*Emission_Cals!$R$20))</f>
        <v>-105.80000000000001</v>
      </c>
    </row>
    <row r="6" spans="1:34" x14ac:dyDescent="0.2">
      <c r="A6" s="264" t="str">
        <f>'Data-Collection'!B87</f>
        <v>C - Open Molding - Manual Application - Vacuum bagging - Closed-mold - with Roll Out</v>
      </c>
      <c r="B6" s="268" t="s">
        <v>43</v>
      </c>
      <c r="C6" s="258">
        <f>0.126*(Emission_Cals!$C$17/100)*2000*0.8</f>
        <v>0</v>
      </c>
      <c r="D6" s="259">
        <f>((0.286*(Emission_Cals!$C$17/100))-0.0529)*2000*0.8</f>
        <v>-84.640000000000015</v>
      </c>
      <c r="E6" s="258">
        <f>0.126*(Emission_Cals!$D$17/100)*2000*0.8</f>
        <v>0</v>
      </c>
      <c r="F6" s="259">
        <f>((0.286*(Emission_Cals!$D$17/100))-0.0529)*2000*0.8</f>
        <v>-84.640000000000015</v>
      </c>
      <c r="G6" s="258">
        <f>0.126*(Emission_Cals!$E$17/100)*2000*0.8</f>
        <v>0</v>
      </c>
      <c r="H6" s="259">
        <f>((0.286*(Emission_Cals!$E$17/100))-0.0529)*2000*0.8</f>
        <v>-84.640000000000015</v>
      </c>
      <c r="I6" s="258">
        <f>0.126*(Emission_Cals!$F$17/100)*2000*0.8</f>
        <v>0</v>
      </c>
      <c r="J6" s="259">
        <f>((0.286*(Emission_Cals!$F$17/100))-0.0529)*2000*0.8</f>
        <v>-84.640000000000015</v>
      </c>
      <c r="K6" s="258">
        <f>0.126*(Emission_Cals!$G$17/100)*2000*0.8</f>
        <v>0</v>
      </c>
      <c r="L6" s="259">
        <f>((0.286*(Emission_Cals!$G$17/100))-0.0529)*2000*0.8</f>
        <v>-84.640000000000015</v>
      </c>
      <c r="M6" s="258">
        <f>0.126*(Emission_Cals!$H$17/100)*2000*0.8</f>
        <v>0</v>
      </c>
      <c r="N6" s="259">
        <f>((0.286*(Emission_Cals!$H$17/100))-0.0529)*2000*0.8</f>
        <v>-84.640000000000015</v>
      </c>
      <c r="O6" s="258">
        <f>0.126*(Emission_Cals!$I$17/100)*2000*0.8</f>
        <v>0</v>
      </c>
      <c r="P6" s="259">
        <f>((0.286*(Emission_Cals!$I$17/100))-0.0529)*2000*0.8</f>
        <v>-84.640000000000015</v>
      </c>
      <c r="Q6" s="258">
        <f>0.126*(Emission_Cals!$J$17/100)*2000*0.8</f>
        <v>0</v>
      </c>
      <c r="R6" s="259">
        <f>((0.286*(Emission_Cals!$J$17/100))-0.0529)*2000*0.8</f>
        <v>-84.640000000000015</v>
      </c>
      <c r="S6" s="258">
        <f>0.126*(Emission_Cals!$K$17/100)*2000*0.8</f>
        <v>0</v>
      </c>
      <c r="T6" s="259">
        <f>((0.286*(Emission_Cals!$K$17/100))-0.0529)*2000*0.8</f>
        <v>-84.640000000000015</v>
      </c>
      <c r="U6" s="258">
        <f>0.126*(Emission_Cals!$L$17/100)*2000*0.8</f>
        <v>0</v>
      </c>
      <c r="V6" s="259">
        <f>((0.286*(Emission_Cals!$L$17/100))-0.0529)*2000*0.8</f>
        <v>-84.640000000000015</v>
      </c>
      <c r="W6" s="258">
        <f>0.126*(Emission_Cals!$M$17/100)*2000*0.8</f>
        <v>0</v>
      </c>
      <c r="X6" s="259">
        <f>((0.286*(Emission_Cals!$M$17/100))-0.0529)*2000*0.8</f>
        <v>-84.640000000000015</v>
      </c>
      <c r="Y6" s="258">
        <f>0.126*(Emission_Cals!$N$17/100)*2000*0.8</f>
        <v>0</v>
      </c>
      <c r="Z6" s="259">
        <f>((0.286*(Emission_Cals!$N$17/100))-0.0529)*2000*0.8</f>
        <v>-84.640000000000015</v>
      </c>
      <c r="AA6" s="258">
        <f>0.126*(Emission_Cals!$O$17/100)*2000*0.8</f>
        <v>0</v>
      </c>
      <c r="AB6" s="259">
        <f>((0.286*(Emission_Cals!$O$17/100))-0.0529)*2000*0.8</f>
        <v>-84.640000000000015</v>
      </c>
      <c r="AC6" s="258">
        <f>0.126*(Emission_Cals!$P$17/100)*2000*0.8</f>
        <v>0</v>
      </c>
      <c r="AD6" s="259">
        <f>((0.286*(Emission_Cals!$P$17/100))-0.0529)*2000*0.8</f>
        <v>-84.640000000000015</v>
      </c>
      <c r="AE6" s="258">
        <f>0.126*(Emission_Cals!$Q$17/100)*2000*0.8</f>
        <v>0</v>
      </c>
      <c r="AF6" s="259">
        <f>((0.286*(Emission_Cals!$Q$17/100))-0.0529)*2000*0.8</f>
        <v>-84.640000000000015</v>
      </c>
      <c r="AG6" s="258">
        <f>0.126*(Emission_Cals!$R$17/100)*2000*0.8</f>
        <v>0</v>
      </c>
      <c r="AH6" s="259">
        <f>((0.286*(Emission_Cals!$R$17/100))-0.0529)*2000*0.8</f>
        <v>-84.640000000000015</v>
      </c>
    </row>
    <row r="7" spans="1:34" x14ac:dyDescent="0.2">
      <c r="A7" s="264" t="str">
        <f>'Data-Collection'!B88</f>
        <v>D - Open Molding - Manual Application - Vacuum bagging - Closed-mold - without Roll Out</v>
      </c>
      <c r="B7" s="268" t="s">
        <v>47</v>
      </c>
      <c r="C7" s="258">
        <f>0.126*(Emission_Cals!$C$17/100)*2000*0.5</f>
        <v>0</v>
      </c>
      <c r="D7" s="259">
        <f>((0.286*(Emission_Cals!$C$17/100))-0.0529)*2000*0.5</f>
        <v>-52.900000000000006</v>
      </c>
      <c r="E7" s="258">
        <f>0.126*(Emission_Cals!$D$17/100)*2000*0.5</f>
        <v>0</v>
      </c>
      <c r="F7" s="259">
        <f>((0.286*(Emission_Cals!$D$17/100))-0.0529)*2000*0.5</f>
        <v>-52.900000000000006</v>
      </c>
      <c r="G7" s="258">
        <f>0.126*(Emission_Cals!$E$17/100)*2000*0.5</f>
        <v>0</v>
      </c>
      <c r="H7" s="259">
        <f>((0.286*(Emission_Cals!$E$17/100))-0.0529)*2000*0.5</f>
        <v>-52.900000000000006</v>
      </c>
      <c r="I7" s="258">
        <f>0.126*(Emission_Cals!$F$17/100)*2000*0.5</f>
        <v>0</v>
      </c>
      <c r="J7" s="259">
        <f>((0.286*(Emission_Cals!$F$17/100))-0.0529)*2000*0.5</f>
        <v>-52.900000000000006</v>
      </c>
      <c r="K7" s="258">
        <f>0.126*(Emission_Cals!$G$17/100)*2000*0.5</f>
        <v>0</v>
      </c>
      <c r="L7" s="259">
        <f>((0.286*(Emission_Cals!$G$17/100))-0.0529)*2000*0.5</f>
        <v>-52.900000000000006</v>
      </c>
      <c r="M7" s="258">
        <f>0.126*(Emission_Cals!$H$17/100)*2000*0.5</f>
        <v>0</v>
      </c>
      <c r="N7" s="259">
        <f>((0.286*(Emission_Cals!$H$17/100))-0.0529)*2000*0.5</f>
        <v>-52.900000000000006</v>
      </c>
      <c r="O7" s="258">
        <f>0.126*(Emission_Cals!$I$17/100)*2000*0.5</f>
        <v>0</v>
      </c>
      <c r="P7" s="259">
        <f>((0.286*(Emission_Cals!$I$17/100))-0.0529)*2000*0.5</f>
        <v>-52.900000000000006</v>
      </c>
      <c r="Q7" s="258">
        <f>0.126*(Emission_Cals!$J$17/100)*2000*0.5</f>
        <v>0</v>
      </c>
      <c r="R7" s="259">
        <f>((0.286*(Emission_Cals!$J$17/100))-0.0529)*2000*0.5</f>
        <v>-52.900000000000006</v>
      </c>
      <c r="S7" s="258">
        <f>0.126*(Emission_Cals!$K$17/100)*2000*0.5</f>
        <v>0</v>
      </c>
      <c r="T7" s="259">
        <f>((0.286*(Emission_Cals!$K$17/100))-0.0529)*2000*0.5</f>
        <v>-52.900000000000006</v>
      </c>
      <c r="U7" s="258">
        <f>0.126*(Emission_Cals!$L$17/100)*2000*0.5</f>
        <v>0</v>
      </c>
      <c r="V7" s="259">
        <f>((0.286*(Emission_Cals!$L$17/100))-0.0529)*2000*0.5</f>
        <v>-52.900000000000006</v>
      </c>
      <c r="W7" s="258">
        <f>0.126*(Emission_Cals!$M$17/100)*2000*0.5</f>
        <v>0</v>
      </c>
      <c r="X7" s="259">
        <f>((0.286*(Emission_Cals!$M$17/100))-0.0529)*2000*0.5</f>
        <v>-52.900000000000006</v>
      </c>
      <c r="Y7" s="258">
        <f>0.126*(Emission_Cals!$N$17/100)*2000*0.5</f>
        <v>0</v>
      </c>
      <c r="Z7" s="259">
        <f>((0.286*(Emission_Cals!$N$17/100))-0.0529)*2000*0.5</f>
        <v>-52.900000000000006</v>
      </c>
      <c r="AA7" s="258">
        <f>0.126*(Emission_Cals!$O$17/100)*2000*0.5</f>
        <v>0</v>
      </c>
      <c r="AB7" s="259">
        <f>((0.286*(Emission_Cals!$O$17/100))-0.0529)*2000*0.5</f>
        <v>-52.900000000000006</v>
      </c>
      <c r="AC7" s="258">
        <f>0.126*(Emission_Cals!$P$17/100)*2000*0.5</f>
        <v>0</v>
      </c>
      <c r="AD7" s="259">
        <f>((0.286*(Emission_Cals!$P$17/100))-0.0529)*2000*0.5</f>
        <v>-52.900000000000006</v>
      </c>
      <c r="AE7" s="258">
        <f>0.126*(Emission_Cals!$Q$17/100)*2000*0.5</f>
        <v>0</v>
      </c>
      <c r="AF7" s="259">
        <f>((0.286*(Emission_Cals!$Q$17/100))-0.0529)*2000*0.5</f>
        <v>-52.900000000000006</v>
      </c>
      <c r="AG7" s="258">
        <f>0.126*(Emission_Cals!$R$17/100)*2000*0.5</f>
        <v>0</v>
      </c>
      <c r="AH7" s="259">
        <f>((0.286*(Emission_Cals!$R$17/100))-0.0529)*2000*0.5</f>
        <v>-52.900000000000006</v>
      </c>
    </row>
    <row r="8" spans="1:34" x14ac:dyDescent="0.2">
      <c r="A8" s="264" t="str">
        <f>'Data-Collection'!B89</f>
        <v>E - Open Molding - Atomized Mechanical Application - Nonvapor-suppressed resin</v>
      </c>
      <c r="B8" s="268" t="s">
        <v>48</v>
      </c>
      <c r="C8" s="258">
        <f>0.169*(Emission_Cals!$C$17/100)*2000</f>
        <v>0</v>
      </c>
      <c r="D8" s="259">
        <f>((0.714*(Emission_Cals!$C$17/100))-0.18)*2000</f>
        <v>-360</v>
      </c>
      <c r="E8" s="258">
        <f>0.169*(Emission_Cals!$D$17/100)*2000</f>
        <v>0</v>
      </c>
      <c r="F8" s="259">
        <f>((0.714*(Emission_Cals!$D$17/100))-0.18)*2000</f>
        <v>-360</v>
      </c>
      <c r="G8" s="258">
        <f>0.169*(Emission_Cals!$E$17/100)*2000</f>
        <v>0</v>
      </c>
      <c r="H8" s="259">
        <f>((0.714*(Emission_Cals!$E$17/100))-0.18)*2000</f>
        <v>-360</v>
      </c>
      <c r="I8" s="258">
        <f>0.169*(Emission_Cals!$F$17/100)*2000</f>
        <v>0</v>
      </c>
      <c r="J8" s="259">
        <f>((0.714*(Emission_Cals!$F$17/100))-0.18)*2000</f>
        <v>-360</v>
      </c>
      <c r="K8" s="258">
        <f>0.169*(Emission_Cals!$G$17/100)*2000</f>
        <v>0</v>
      </c>
      <c r="L8" s="259">
        <f>((0.714*(Emission_Cals!$G$17/100))-0.18)*2000</f>
        <v>-360</v>
      </c>
      <c r="M8" s="258">
        <f>0.169*(Emission_Cals!$H$17/100)*2000</f>
        <v>0</v>
      </c>
      <c r="N8" s="259">
        <f>((0.714*(Emission_Cals!$H$17/100))-0.18)*2000</f>
        <v>-360</v>
      </c>
      <c r="O8" s="258">
        <f>0.169*(Emission_Cals!$I$17/100)*2000</f>
        <v>0</v>
      </c>
      <c r="P8" s="259">
        <f>((0.714*(Emission_Cals!$I$17/100))-0.18)*2000</f>
        <v>-360</v>
      </c>
      <c r="Q8" s="258">
        <f>0.169*(Emission_Cals!$J$17/100)*2000</f>
        <v>0</v>
      </c>
      <c r="R8" s="259">
        <f>((0.714*(Emission_Cals!$J$17/100))-0.18)*2000</f>
        <v>-360</v>
      </c>
      <c r="S8" s="258">
        <f>0.169*(Emission_Cals!$K$17/100)*2000</f>
        <v>0</v>
      </c>
      <c r="T8" s="259">
        <f>((0.714*(Emission_Cals!$K$17/100))-0.18)*2000</f>
        <v>-360</v>
      </c>
      <c r="U8" s="258">
        <f>0.169*(Emission_Cals!$L$17/100)*2000</f>
        <v>0</v>
      </c>
      <c r="V8" s="259">
        <f>((0.714*(Emission_Cals!$L$17/100))-0.18)*2000</f>
        <v>-360</v>
      </c>
      <c r="W8" s="258">
        <f>0.169*(Emission_Cals!$M$17/100)*2000</f>
        <v>0</v>
      </c>
      <c r="X8" s="259">
        <f>((0.714*(Emission_Cals!$M$17/100))-0.18)*2000</f>
        <v>-360</v>
      </c>
      <c r="Y8" s="258">
        <f>0.169*(Emission_Cals!$N$17/100)*2000</f>
        <v>0</v>
      </c>
      <c r="Z8" s="259">
        <f>((0.714*(Emission_Cals!$N$17/100))-0.18)*2000</f>
        <v>-360</v>
      </c>
      <c r="AA8" s="258">
        <f>0.169*(Emission_Cals!$O$17/100)*2000</f>
        <v>0</v>
      </c>
      <c r="AB8" s="259">
        <f>((0.714*(Emission_Cals!$O$17/100))-0.18)*2000</f>
        <v>-360</v>
      </c>
      <c r="AC8" s="258">
        <f>0.169*(Emission_Cals!$P$17/100)*2000</f>
        <v>0</v>
      </c>
      <c r="AD8" s="259">
        <f>((0.714*(Emission_Cals!$P$17/100))-0.18)*2000</f>
        <v>-360</v>
      </c>
      <c r="AE8" s="258">
        <f>0.169*(Emission_Cals!$Q$17/100)*2000</f>
        <v>0</v>
      </c>
      <c r="AF8" s="259">
        <f>((0.714*(Emission_Cals!$Q$17/100))-0.18)*2000</f>
        <v>-360</v>
      </c>
      <c r="AG8" s="258">
        <f>0.169*(Emission_Cals!$R$17/100)*2000</f>
        <v>0</v>
      </c>
      <c r="AH8" s="259">
        <f>((0.714*(Emission_Cals!$R$17/100))-0.18)*2000</f>
        <v>-360</v>
      </c>
    </row>
    <row r="9" spans="1:34" x14ac:dyDescent="0.2">
      <c r="A9" s="264" t="str">
        <f>'Data-Collection'!B90</f>
        <v>F - Open Molding - Atomized Mechanical Application - Vapor-suppressed resin</v>
      </c>
      <c r="B9" s="268" t="s">
        <v>49</v>
      </c>
      <c r="C9" s="258">
        <f>0.169*(Emission_Cals!$C$17/100)*2000*(1-(0.45*Emission_Cals!$C$20))</f>
        <v>0</v>
      </c>
      <c r="D9" s="259">
        <f>((0.714*(Emission_Cals!$C$17/100))-0.18)*2000*(1-(0.45*Emission_Cals!$C$20))</f>
        <v>-360</v>
      </c>
      <c r="E9" s="258">
        <f>0.169*(Emission_Cals!$D$17/100)*2000*(1-(0.45*Emission_Cals!$D$20))</f>
        <v>0</v>
      </c>
      <c r="F9" s="259">
        <f>((0.714*(Emission_Cals!$D$17/100))-0.18)*2000*(1-(0.45*Emission_Cals!$D$20))</f>
        <v>-360</v>
      </c>
      <c r="G9" s="258">
        <f>0.169*(Emission_Cals!$E$17/100)*2000*(1-(0.45*Emission_Cals!$E$20))</f>
        <v>0</v>
      </c>
      <c r="H9" s="259">
        <f>((0.714*(Emission_Cals!$E$17/100))-0.18)*2000*(1-(0.45*Emission_Cals!$E$20))</f>
        <v>-360</v>
      </c>
      <c r="I9" s="258">
        <f>0.169*(Emission_Cals!$F$17/100)*2000*(1-(0.45*Emission_Cals!$F$20))</f>
        <v>0</v>
      </c>
      <c r="J9" s="259">
        <f>((0.714*(Emission_Cals!$F$17/100))-0.18)*2000*(1-(0.45*Emission_Cals!$F$20))</f>
        <v>-360</v>
      </c>
      <c r="K9" s="258">
        <f>0.169*(Emission_Cals!$G$17/100)*2000*(1-(0.45*Emission_Cals!$G$20))</f>
        <v>0</v>
      </c>
      <c r="L9" s="259">
        <f>((0.714*(Emission_Cals!$G$17/100))-0.18)*2000*(1-(0.45*Emission_Cals!$G$20))</f>
        <v>-360</v>
      </c>
      <c r="M9" s="258">
        <f>0.169*(Emission_Cals!$H$17/100)*2000*(1-(0.45*Emission_Cals!$H$20))</f>
        <v>0</v>
      </c>
      <c r="N9" s="259">
        <f>((0.714*(Emission_Cals!$H$17/100))-0.18)*2000*(1-(0.45*Emission_Cals!$H$20))</f>
        <v>-360</v>
      </c>
      <c r="O9" s="258">
        <f>0.169*(Emission_Cals!$I$17/100)*2000*(1-(0.45*Emission_Cals!$I$20))</f>
        <v>0</v>
      </c>
      <c r="P9" s="259">
        <f>((0.714*(Emission_Cals!$I$17/100))-0.18)*2000*(1-(0.45*Emission_Cals!$I$20))</f>
        <v>-360</v>
      </c>
      <c r="Q9" s="258">
        <f>0.169*(Emission_Cals!$J$17/100)*2000*(1-(0.45*Emission_Cals!$J$20))</f>
        <v>0</v>
      </c>
      <c r="R9" s="259">
        <f>((0.714*(Emission_Cals!$J$17/100))-0.18)*2000*(1-(0.45*Emission_Cals!$J$20))</f>
        <v>-360</v>
      </c>
      <c r="S9" s="258">
        <f>0.169*(Emission_Cals!$K$17/100)*2000*(1-(0.45*Emission_Cals!$K$20))</f>
        <v>0</v>
      </c>
      <c r="T9" s="259">
        <f>((0.714*(Emission_Cals!$K$17/100))-0.18)*2000*(1-(0.45*Emission_Cals!$K$20))</f>
        <v>-360</v>
      </c>
      <c r="U9" s="258">
        <f>0.169*(Emission_Cals!$L$17/100)*2000*(1-(0.45*Emission_Cals!$L$20))</f>
        <v>0</v>
      </c>
      <c r="V9" s="259">
        <f>((0.714*(Emission_Cals!$L$17/100))-0.18)*2000*(1-(0.45*Emission_Cals!$L$20))</f>
        <v>-360</v>
      </c>
      <c r="W9" s="258">
        <f>0.169*(Emission_Cals!$M$17/100)*2000*(1-(0.45*Emission_Cals!$M$20))</f>
        <v>0</v>
      </c>
      <c r="X9" s="259">
        <f>((0.714*(Emission_Cals!$M$17/100))-0.18)*2000*(1-(0.45*Emission_Cals!$M$20))</f>
        <v>-360</v>
      </c>
      <c r="Y9" s="258">
        <f>0.169*(Emission_Cals!$N$17/100)*2000*(1-(0.45*Emission_Cals!$N$20))</f>
        <v>0</v>
      </c>
      <c r="Z9" s="259">
        <f>((0.714*(Emission_Cals!$N$17/100))-0.18)*2000*(1-(0.45*Emission_Cals!$N$20))</f>
        <v>-360</v>
      </c>
      <c r="AA9" s="258">
        <f>0.169*(Emission_Cals!$O$17/100)*2000*(1-(0.45*Emission_Cals!$O$20))</f>
        <v>0</v>
      </c>
      <c r="AB9" s="259">
        <f>((0.714*(Emission_Cals!$O$17/100))-0.18)*2000*(1-(0.45*Emission_Cals!$O$20))</f>
        <v>-360</v>
      </c>
      <c r="AC9" s="258">
        <f>0.169*(Emission_Cals!$P$17/100)*2000*(1-(0.45*Emission_Cals!$P$20))</f>
        <v>0</v>
      </c>
      <c r="AD9" s="259">
        <f>((0.714*(Emission_Cals!$P$17/100))-0.18)*2000*(1-(0.45*Emission_Cals!$P$20))</f>
        <v>-360</v>
      </c>
      <c r="AE9" s="258">
        <f>0.169*(Emission_Cals!$Q$17/100)*2000*(1-(0.45*Emission_Cals!$Q$20))</f>
        <v>0</v>
      </c>
      <c r="AF9" s="259">
        <f>((0.714*(Emission_Cals!$Q$17/100))-0.18)*2000*(1-(0.45*Emission_Cals!$Q$20))</f>
        <v>-360</v>
      </c>
      <c r="AG9" s="258">
        <f>0.169*(Emission_Cals!$R$17/100)*2000*(1-(0.45*Emission_Cals!$R$20))</f>
        <v>0</v>
      </c>
      <c r="AH9" s="259">
        <f>((0.714*(Emission_Cals!$R$17/100))-0.18)*2000*(1-(0.45*Emission_Cals!$R$20))</f>
        <v>-360</v>
      </c>
    </row>
    <row r="10" spans="1:34" x14ac:dyDescent="0.2">
      <c r="A10" s="264" t="str">
        <f>'Data-Collection'!B91</f>
        <v>G - Open Molding - Atomized Mechanical Application - Vacuum bagging - Closed-mold - with Roll Out</v>
      </c>
      <c r="B10" s="268" t="s">
        <v>50</v>
      </c>
      <c r="C10" s="258">
        <f>0.169*(Emission_Cals!$C$17/100)*2000*0.85</f>
        <v>0</v>
      </c>
      <c r="D10" s="259">
        <f>((0.714*(Emission_Cals!$C$17/100))-0.18)*2000*0.85</f>
        <v>-306</v>
      </c>
      <c r="E10" s="258">
        <f>0.169*(Emission_Cals!$D$17/100)*2000*0.85</f>
        <v>0</v>
      </c>
      <c r="F10" s="259">
        <f>((0.714*(Emission_Cals!$D$17/100))-0.18)*2000*0.85</f>
        <v>-306</v>
      </c>
      <c r="G10" s="258">
        <f>0.169*(Emission_Cals!$E$17/100)*2000*0.85</f>
        <v>0</v>
      </c>
      <c r="H10" s="259">
        <f>((0.714*(Emission_Cals!$E$17/100))-0.18)*2000*0.85</f>
        <v>-306</v>
      </c>
      <c r="I10" s="258">
        <f>0.169*(Emission_Cals!$F$17/100)*2000*0.85</f>
        <v>0</v>
      </c>
      <c r="J10" s="259">
        <f>((0.714*(Emission_Cals!$F$17/100))-0.18)*2000*0.85</f>
        <v>-306</v>
      </c>
      <c r="K10" s="258">
        <f>0.169*(Emission_Cals!$G$17/100)*2000*0.85</f>
        <v>0</v>
      </c>
      <c r="L10" s="259">
        <f>((0.714*(Emission_Cals!$G$17/100))-0.18)*2000*0.85</f>
        <v>-306</v>
      </c>
      <c r="M10" s="258">
        <f>0.169*(Emission_Cals!$H$17/100)*2000*0.85</f>
        <v>0</v>
      </c>
      <c r="N10" s="259">
        <f>((0.714*(Emission_Cals!$H$17/100))-0.18)*2000*0.85</f>
        <v>-306</v>
      </c>
      <c r="O10" s="258">
        <f>0.169*(Emission_Cals!$I$17/100)*2000*0.85</f>
        <v>0</v>
      </c>
      <c r="P10" s="259">
        <f>((0.714*(Emission_Cals!$I$17/100))-0.18)*2000*0.85</f>
        <v>-306</v>
      </c>
      <c r="Q10" s="258">
        <f>0.169*(Emission_Cals!$J$17/100)*2000*0.85</f>
        <v>0</v>
      </c>
      <c r="R10" s="259">
        <f>((0.714*(Emission_Cals!$J$17/100))-0.18)*2000*0.85</f>
        <v>-306</v>
      </c>
      <c r="S10" s="258">
        <f>0.169*(Emission_Cals!$K$17/100)*2000*0.85</f>
        <v>0</v>
      </c>
      <c r="T10" s="259">
        <f>((0.714*(Emission_Cals!$K$17/100))-0.18)*2000*0.85</f>
        <v>-306</v>
      </c>
      <c r="U10" s="258">
        <f>0.169*(Emission_Cals!$L$17/100)*2000*0.85</f>
        <v>0</v>
      </c>
      <c r="V10" s="259">
        <f>((0.714*(Emission_Cals!$L$17/100))-0.18)*2000*0.85</f>
        <v>-306</v>
      </c>
      <c r="W10" s="258">
        <f>0.169*(Emission_Cals!$M$17/100)*2000*0.85</f>
        <v>0</v>
      </c>
      <c r="X10" s="259">
        <f>((0.714*(Emission_Cals!$M$17/100))-0.18)*2000*0.85</f>
        <v>-306</v>
      </c>
      <c r="Y10" s="258">
        <f>0.169*(Emission_Cals!$N$17/100)*2000*0.85</f>
        <v>0</v>
      </c>
      <c r="Z10" s="259">
        <f>((0.714*(Emission_Cals!$N$17/100))-0.18)*2000*0.85</f>
        <v>-306</v>
      </c>
      <c r="AA10" s="258">
        <f>0.169*(Emission_Cals!$O$17/100)*2000*0.85</f>
        <v>0</v>
      </c>
      <c r="AB10" s="259">
        <f>((0.714*(Emission_Cals!$O$17/100))-0.18)*2000*0.85</f>
        <v>-306</v>
      </c>
      <c r="AC10" s="258">
        <f>0.169*(Emission_Cals!$P$17/100)*2000*0.85</f>
        <v>0</v>
      </c>
      <c r="AD10" s="259">
        <f>((0.714*(Emission_Cals!$P$17/100))-0.18)*2000*0.85</f>
        <v>-306</v>
      </c>
      <c r="AE10" s="258">
        <f>0.169*(Emission_Cals!$Q$17/100)*2000*0.85</f>
        <v>0</v>
      </c>
      <c r="AF10" s="259">
        <f>((0.714*(Emission_Cals!$Q$17/100))-0.18)*2000*0.85</f>
        <v>-306</v>
      </c>
      <c r="AG10" s="258">
        <f>0.169*(Emission_Cals!$R$17/100)*2000*0.85</f>
        <v>0</v>
      </c>
      <c r="AH10" s="259">
        <f>((0.714*(Emission_Cals!$R$17/100))-0.18)*2000*0.85</f>
        <v>-306</v>
      </c>
    </row>
    <row r="11" spans="1:34" x14ac:dyDescent="0.2">
      <c r="A11" s="264" t="str">
        <f>'Data-Collection'!B92</f>
        <v>H - Open Molding - Atomized Mechanical Application - Vacuum bagging - Closed-mold - without Roll Out</v>
      </c>
      <c r="B11" s="268" t="s">
        <v>51</v>
      </c>
      <c r="C11" s="258">
        <f>0.169*(Emission_Cals!$C$17/100)*2000*0.55</f>
        <v>0</v>
      </c>
      <c r="D11" s="259">
        <f>((0.714*(Emission_Cals!$C$17/100))-0.18)*2000*0.55</f>
        <v>-198.00000000000003</v>
      </c>
      <c r="E11" s="258">
        <f>0.169*(Emission_Cals!$D$17/100)*2000*0.55</f>
        <v>0</v>
      </c>
      <c r="F11" s="259">
        <f>((0.714*(Emission_Cals!$D$17/100))-0.18)*2000*0.55</f>
        <v>-198.00000000000003</v>
      </c>
      <c r="G11" s="258">
        <f>0.169*(Emission_Cals!$E$17/100)*2000*0.55</f>
        <v>0</v>
      </c>
      <c r="H11" s="259">
        <f>((0.714*(Emission_Cals!$E$17/100))-0.18)*2000*0.55</f>
        <v>-198.00000000000003</v>
      </c>
      <c r="I11" s="258">
        <f>0.169*(Emission_Cals!$F$17/100)*2000*0.55</f>
        <v>0</v>
      </c>
      <c r="J11" s="259">
        <f>((0.714*(Emission_Cals!$F$17/100))-0.18)*2000*0.55</f>
        <v>-198.00000000000003</v>
      </c>
      <c r="K11" s="258">
        <f>0.169*(Emission_Cals!$G$17/100)*2000*0.55</f>
        <v>0</v>
      </c>
      <c r="L11" s="259">
        <f>((0.714*(Emission_Cals!$G$17/100))-0.18)*2000*0.55</f>
        <v>-198.00000000000003</v>
      </c>
      <c r="M11" s="258">
        <f>0.169*(Emission_Cals!$H$17/100)*2000*0.55</f>
        <v>0</v>
      </c>
      <c r="N11" s="259">
        <f>((0.714*(Emission_Cals!$H$17/100))-0.18)*2000*0.55</f>
        <v>-198.00000000000003</v>
      </c>
      <c r="O11" s="258">
        <f>0.169*(Emission_Cals!$I$17/100)*2000*0.55</f>
        <v>0</v>
      </c>
      <c r="P11" s="259">
        <f>((0.714*(Emission_Cals!$I$17/100))-0.18)*2000*0.55</f>
        <v>-198.00000000000003</v>
      </c>
      <c r="Q11" s="258">
        <f>0.169*(Emission_Cals!$J$17/100)*2000*0.55</f>
        <v>0</v>
      </c>
      <c r="R11" s="259">
        <f>((0.714*(Emission_Cals!$J$17/100))-0.18)*2000*0.55</f>
        <v>-198.00000000000003</v>
      </c>
      <c r="S11" s="258">
        <f>0.169*(Emission_Cals!$K$17/100)*2000*0.55</f>
        <v>0</v>
      </c>
      <c r="T11" s="259">
        <f>((0.714*(Emission_Cals!$K$17/100))-0.18)*2000*0.55</f>
        <v>-198.00000000000003</v>
      </c>
      <c r="U11" s="258">
        <f>0.169*(Emission_Cals!$L$17/100)*2000*0.55</f>
        <v>0</v>
      </c>
      <c r="V11" s="259">
        <f>((0.714*(Emission_Cals!$L$17/100))-0.18)*2000*0.55</f>
        <v>-198.00000000000003</v>
      </c>
      <c r="W11" s="258">
        <f>0.169*(Emission_Cals!$M$17/100)*2000*0.55</f>
        <v>0</v>
      </c>
      <c r="X11" s="259">
        <f>((0.714*(Emission_Cals!$M$17/100))-0.18)*2000*0.55</f>
        <v>-198.00000000000003</v>
      </c>
      <c r="Y11" s="258">
        <f>0.169*(Emission_Cals!$N$17/100)*2000*0.55</f>
        <v>0</v>
      </c>
      <c r="Z11" s="259">
        <f>((0.714*(Emission_Cals!$N$17/100))-0.18)*2000*0.55</f>
        <v>-198.00000000000003</v>
      </c>
      <c r="AA11" s="258">
        <f>0.169*(Emission_Cals!$O$17/100)*2000*0.55</f>
        <v>0</v>
      </c>
      <c r="AB11" s="259">
        <f>((0.714*(Emission_Cals!$O$17/100))-0.18)*2000*0.55</f>
        <v>-198.00000000000003</v>
      </c>
      <c r="AC11" s="258">
        <f>0.169*(Emission_Cals!$P$17/100)*2000*0.55</f>
        <v>0</v>
      </c>
      <c r="AD11" s="259">
        <f>((0.714*(Emission_Cals!$P$17/100))-0.18)*2000*0.55</f>
        <v>-198.00000000000003</v>
      </c>
      <c r="AE11" s="258">
        <f>0.169*(Emission_Cals!$Q$17/100)*2000*0.55</f>
        <v>0</v>
      </c>
      <c r="AF11" s="259">
        <f>((0.714*(Emission_Cals!$Q$17/100))-0.18)*2000*0.55</f>
        <v>-198.00000000000003</v>
      </c>
      <c r="AG11" s="258">
        <f>0.169*(Emission_Cals!$R$17/100)*2000*0.55</f>
        <v>0</v>
      </c>
      <c r="AH11" s="259">
        <f>((0.714*(Emission_Cals!$R$17/100))-0.18)*2000*0.55</f>
        <v>-198.00000000000003</v>
      </c>
    </row>
    <row r="12" spans="1:34" x14ac:dyDescent="0.2">
      <c r="A12" s="264" t="str">
        <f>'Data-Collection'!B93</f>
        <v>I - Open Molding - Nonatomized Mechanical Application - Nonvapor-suppressed resin</v>
      </c>
      <c r="B12" s="268" t="s">
        <v>52</v>
      </c>
      <c r="C12" s="258">
        <f>0.107*(Emission_Cals!$C$17/100)*2000</f>
        <v>0</v>
      </c>
      <c r="D12" s="259">
        <f>((0.157*(Emission_Cals!$C$17/100))-0.0165)*2000</f>
        <v>-33</v>
      </c>
      <c r="E12" s="258">
        <f>0.107*(Emission_Cals!$D$17/100)*2000</f>
        <v>0</v>
      </c>
      <c r="F12" s="259">
        <f>((0.157*(Emission_Cals!$D$17/100))-0.0165)*2000</f>
        <v>-33</v>
      </c>
      <c r="G12" s="258">
        <f>0.107*(Emission_Cals!$E$17/100)*2000</f>
        <v>0</v>
      </c>
      <c r="H12" s="259">
        <f>((0.157*(Emission_Cals!$E$17/100))-0.0165)*2000</f>
        <v>-33</v>
      </c>
      <c r="I12" s="258">
        <f>0.107*(Emission_Cals!$F$17/100)*2000</f>
        <v>0</v>
      </c>
      <c r="J12" s="259">
        <f>((0.157*(Emission_Cals!$F$17/100))-0.0165)*2000</f>
        <v>-33</v>
      </c>
      <c r="K12" s="258">
        <f>0.107*(Emission_Cals!$G$17/100)*2000</f>
        <v>0</v>
      </c>
      <c r="L12" s="259">
        <f>((0.157*(Emission_Cals!$G$17/100))-0.0165)*2000</f>
        <v>-33</v>
      </c>
      <c r="M12" s="258">
        <f>0.107*(Emission_Cals!$H$17/100)*2000</f>
        <v>0</v>
      </c>
      <c r="N12" s="259">
        <f>((0.157*(Emission_Cals!$H$17/100))-0.0165)*2000</f>
        <v>-33</v>
      </c>
      <c r="O12" s="258">
        <f>0.107*(Emission_Cals!$I$17/100)*2000</f>
        <v>0</v>
      </c>
      <c r="P12" s="259">
        <f>((0.157*(Emission_Cals!$I$17/100))-0.0165)*2000</f>
        <v>-33</v>
      </c>
      <c r="Q12" s="258">
        <f>0.107*(Emission_Cals!$J$17/100)*2000</f>
        <v>0</v>
      </c>
      <c r="R12" s="259">
        <f>((0.157*(Emission_Cals!$J$17/100))-0.0165)*2000</f>
        <v>-33</v>
      </c>
      <c r="S12" s="258">
        <f>0.107*(Emission_Cals!$K$17/100)*2000</f>
        <v>0</v>
      </c>
      <c r="T12" s="259">
        <f>((0.157*(Emission_Cals!$K$17/100))-0.0165)*2000</f>
        <v>-33</v>
      </c>
      <c r="U12" s="258">
        <f>0.107*(Emission_Cals!$L$17/100)*2000</f>
        <v>0</v>
      </c>
      <c r="V12" s="259">
        <f>((0.157*(Emission_Cals!$L$17/100))-0.0165)*2000</f>
        <v>-33</v>
      </c>
      <c r="W12" s="258">
        <f>0.107*(Emission_Cals!$M$17/100)*2000</f>
        <v>0</v>
      </c>
      <c r="X12" s="259">
        <f>((0.157*(Emission_Cals!$M$17/100))-0.0165)*2000</f>
        <v>-33</v>
      </c>
      <c r="Y12" s="258">
        <f>0.107*(Emission_Cals!$N$17/100)*2000</f>
        <v>0</v>
      </c>
      <c r="Z12" s="259">
        <f>((0.157*(Emission_Cals!$N$17/100))-0.0165)*2000</f>
        <v>-33</v>
      </c>
      <c r="AA12" s="258">
        <f>0.107*(Emission_Cals!$O$17/100)*2000</f>
        <v>0</v>
      </c>
      <c r="AB12" s="259">
        <f>((0.157*(Emission_Cals!$O$17/100))-0.0165)*2000</f>
        <v>-33</v>
      </c>
      <c r="AC12" s="258">
        <f>0.107*(Emission_Cals!$P$17/100)*2000</f>
        <v>0</v>
      </c>
      <c r="AD12" s="259">
        <f>((0.157*(Emission_Cals!$P$17/100))-0.0165)*2000</f>
        <v>-33</v>
      </c>
      <c r="AE12" s="258">
        <f>0.107*(Emission_Cals!$Q$17/100)*2000</f>
        <v>0</v>
      </c>
      <c r="AF12" s="259">
        <f>((0.157*(Emission_Cals!$Q$17/100))-0.0165)*2000</f>
        <v>-33</v>
      </c>
      <c r="AG12" s="258">
        <f>0.107*(Emission_Cals!$R$17/100)*2000</f>
        <v>0</v>
      </c>
      <c r="AH12" s="259">
        <f>((0.157*(Emission_Cals!$R$17/100))-0.0165)*2000</f>
        <v>-33</v>
      </c>
    </row>
    <row r="13" spans="1:34" x14ac:dyDescent="0.2">
      <c r="A13" s="264" t="str">
        <f>'Data-Collection'!B94</f>
        <v>J - Open Molding - Nonatomized Mechanical Application - Vapor-suppressed resin</v>
      </c>
      <c r="B13" s="268" t="s">
        <v>53</v>
      </c>
      <c r="C13" s="258">
        <f>0.107*(Emission_Cals!$C$17/100)*2000*(1-(0.45*Emission_Cals!$C$20))</f>
        <v>0</v>
      </c>
      <c r="D13" s="259">
        <f>((0.157*(Emission_Cals!$C$17/100))-0.0165)*2000*(1-(0.45*Emission_Cals!$C$20))</f>
        <v>-33</v>
      </c>
      <c r="E13" s="258">
        <f>0.107*(Emission_Cals!$D$17/100)*2000*(1-(0.45*Emission_Cals!$D$20))</f>
        <v>0</v>
      </c>
      <c r="F13" s="259">
        <f>((0.157*(Emission_Cals!$D$17/100))-0.0165)*2000*(1-(0.45*Emission_Cals!$D$20))</f>
        <v>-33</v>
      </c>
      <c r="G13" s="258">
        <f>0.107*(Emission_Cals!$E$17/100)*2000*(1-(0.45*Emission_Cals!$E$20))</f>
        <v>0</v>
      </c>
      <c r="H13" s="259">
        <f>((0.157*(Emission_Cals!$E$17/100))-0.0165)*2000*(1-(0.45*Emission_Cals!$E$20))</f>
        <v>-33</v>
      </c>
      <c r="I13" s="258">
        <f>0.107*(Emission_Cals!$F$17/100)*2000*(1-(0.45*Emission_Cals!$F$20))</f>
        <v>0</v>
      </c>
      <c r="J13" s="259">
        <f>((0.157*(Emission_Cals!$F$17/100))-0.0165)*2000*(1-(0.45*Emission_Cals!$F$20))</f>
        <v>-33</v>
      </c>
      <c r="K13" s="258">
        <f>0.107*(Emission_Cals!$G$17/100)*2000*(1-(0.45*Emission_Cals!$G$20))</f>
        <v>0</v>
      </c>
      <c r="L13" s="259">
        <f>((0.157*(Emission_Cals!$G$17/100))-0.0165)*2000*(1-(0.45*Emission_Cals!$G$20))</f>
        <v>-33</v>
      </c>
      <c r="M13" s="258">
        <f>0.107*(Emission_Cals!$H$17/100)*2000*(1-(0.45*Emission_Cals!$H$20))</f>
        <v>0</v>
      </c>
      <c r="N13" s="259">
        <f>((0.157*(Emission_Cals!$H$17/100))-0.0165)*2000*(1-(0.45*Emission_Cals!$H$20))</f>
        <v>-33</v>
      </c>
      <c r="O13" s="258">
        <f>0.107*(Emission_Cals!$I$17/100)*2000*(1-(0.45*Emission_Cals!$I$20))</f>
        <v>0</v>
      </c>
      <c r="P13" s="259">
        <f>((0.157*(Emission_Cals!$I$17/100))-0.0165)*2000*(1-(0.45*Emission_Cals!$I$20))</f>
        <v>-33</v>
      </c>
      <c r="Q13" s="258">
        <f>0.107*(Emission_Cals!$J$17/100)*2000*(1-(0.45*Emission_Cals!$J$20))</f>
        <v>0</v>
      </c>
      <c r="R13" s="259">
        <f>((0.157*(Emission_Cals!$J$17/100))-0.0165)*2000*(1-(0.45*Emission_Cals!$J$20))</f>
        <v>-33</v>
      </c>
      <c r="S13" s="258">
        <f>0.107*(Emission_Cals!$K$17/100)*2000*(1-(0.45*Emission_Cals!$K$20))</f>
        <v>0</v>
      </c>
      <c r="T13" s="259">
        <f>((0.157*(Emission_Cals!$K$17/100))-0.0165)*2000*(1-(0.45*Emission_Cals!$K$20))</f>
        <v>-33</v>
      </c>
      <c r="U13" s="258">
        <f>0.107*(Emission_Cals!$L$17/100)*2000*(1-(0.45*Emission_Cals!$L$20))</f>
        <v>0</v>
      </c>
      <c r="V13" s="259">
        <f>((0.157*(Emission_Cals!$L$17/100))-0.0165)*2000*(1-(0.45*Emission_Cals!$L$20))</f>
        <v>-33</v>
      </c>
      <c r="W13" s="258">
        <f>0.107*(Emission_Cals!$M$17/100)*2000*(1-(0.45*Emission_Cals!$M$20))</f>
        <v>0</v>
      </c>
      <c r="X13" s="259">
        <f>((0.157*(Emission_Cals!$M$17/100))-0.0165)*2000*(1-(0.45*Emission_Cals!$M$20))</f>
        <v>-33</v>
      </c>
      <c r="Y13" s="258">
        <f>0.107*(Emission_Cals!$N$17/100)*2000*(1-(0.45*Emission_Cals!$N$20))</f>
        <v>0</v>
      </c>
      <c r="Z13" s="259">
        <f>((0.157*(Emission_Cals!$N$17/100))-0.0165)*2000*(1-(0.45*Emission_Cals!$N$20))</f>
        <v>-33</v>
      </c>
      <c r="AA13" s="258">
        <f>0.107*(Emission_Cals!$O$17/100)*2000*(1-(0.45*Emission_Cals!$O$20))</f>
        <v>0</v>
      </c>
      <c r="AB13" s="259">
        <f>((0.157*(Emission_Cals!$O$17/100))-0.0165)*2000*(1-(0.45*Emission_Cals!$O$20))</f>
        <v>-33</v>
      </c>
      <c r="AC13" s="258">
        <f>0.107*(Emission_Cals!$P$17/100)*2000*(1-(0.45*Emission_Cals!$P$20))</f>
        <v>0</v>
      </c>
      <c r="AD13" s="259">
        <f>((0.157*(Emission_Cals!$P$17/100))-0.0165)*2000*(1-(0.45*Emission_Cals!$P$20))</f>
        <v>-33</v>
      </c>
      <c r="AE13" s="258">
        <f>0.107*(Emission_Cals!$Q$17/100)*2000*(1-(0.45*Emission_Cals!$Q$20))</f>
        <v>0</v>
      </c>
      <c r="AF13" s="259">
        <f>((0.157*(Emission_Cals!$Q$17/100))-0.0165)*2000*(1-(0.45*Emission_Cals!$O$20))</f>
        <v>-33</v>
      </c>
      <c r="AG13" s="258">
        <f>0.107*(Emission_Cals!$R$17/100)*2000*(1-(0.45*Emission_Cals!$R$20))</f>
        <v>0</v>
      </c>
      <c r="AH13" s="259">
        <f>((0.157*(Emission_Cals!$R$17/100))-0.0165)*2000*(1-(0.45*Emission_Cals!$P$20))</f>
        <v>-33</v>
      </c>
    </row>
    <row r="14" spans="1:34" x14ac:dyDescent="0.2">
      <c r="A14" s="264" t="str">
        <f>'Data-Collection'!B95</f>
        <v>K - Open Molding - Nonatomized Mechanical Application - Vacuum bagging - Closed-mold - with Roll Out</v>
      </c>
      <c r="B14" s="268" t="s">
        <v>54</v>
      </c>
      <c r="C14" s="258">
        <f>0.107*(Emission_Cals!$C$17/100)*2000*0.85</f>
        <v>0</v>
      </c>
      <c r="D14" s="259">
        <f>((0.157*(Emission_Cals!$C$17/100))-0.0165)*2000*0.85</f>
        <v>-28.05</v>
      </c>
      <c r="E14" s="258">
        <f>0.107*(Emission_Cals!$D$17/100)*2000*0.85</f>
        <v>0</v>
      </c>
      <c r="F14" s="259">
        <f>((0.157*(Emission_Cals!$D$17/100))-0.0165)*2000*0.85</f>
        <v>-28.05</v>
      </c>
      <c r="G14" s="258">
        <f>0.107*(Emission_Cals!$E$17/100)*2000*0.85</f>
        <v>0</v>
      </c>
      <c r="H14" s="259">
        <f>((0.157*(Emission_Cals!$E$17/100))-0.0165)*2000*0.85</f>
        <v>-28.05</v>
      </c>
      <c r="I14" s="258">
        <f>0.107*(Emission_Cals!$F$17/100)*2000*0.85</f>
        <v>0</v>
      </c>
      <c r="J14" s="259">
        <f>((0.157*(Emission_Cals!$F$17/100))-0.0165)*2000*0.85</f>
        <v>-28.05</v>
      </c>
      <c r="K14" s="258">
        <f>0.107*(Emission_Cals!$G$17/100)*2000*0.85</f>
        <v>0</v>
      </c>
      <c r="L14" s="259">
        <f>((0.157*(Emission_Cals!$G$17/100))-0.0165)*2000*0.85</f>
        <v>-28.05</v>
      </c>
      <c r="M14" s="258">
        <f>0.107*(Emission_Cals!$H$17/100)*2000*0.85</f>
        <v>0</v>
      </c>
      <c r="N14" s="259">
        <f>((0.157*(Emission_Cals!$H$17/100))-0.0165)*2000*0.85</f>
        <v>-28.05</v>
      </c>
      <c r="O14" s="258">
        <f>0.107*(Emission_Cals!$I$17/100)*2000*0.85</f>
        <v>0</v>
      </c>
      <c r="P14" s="259">
        <f>((0.157*(Emission_Cals!$I$17/100))-0.0165)*2000*0.85</f>
        <v>-28.05</v>
      </c>
      <c r="Q14" s="258">
        <f>0.107*(Emission_Cals!$J$17/100)*2000*0.85</f>
        <v>0</v>
      </c>
      <c r="R14" s="259">
        <f>((0.157*(Emission_Cals!$J$17/100))-0.0165)*2000*0.85</f>
        <v>-28.05</v>
      </c>
      <c r="S14" s="258">
        <f>0.107*(Emission_Cals!$K$17/100)*2000*0.85</f>
        <v>0</v>
      </c>
      <c r="T14" s="259">
        <f>((0.157*(Emission_Cals!$K$17/100))-0.0165)*2000*0.85</f>
        <v>-28.05</v>
      </c>
      <c r="U14" s="258">
        <f>0.107*(Emission_Cals!$L$17/100)*2000*0.85</f>
        <v>0</v>
      </c>
      <c r="V14" s="259">
        <f>((0.157*(Emission_Cals!$L$17/100))-0.0165)*2000*0.85</f>
        <v>-28.05</v>
      </c>
      <c r="W14" s="258">
        <f>0.107*(Emission_Cals!$M$17/100)*2000*0.85</f>
        <v>0</v>
      </c>
      <c r="X14" s="259">
        <f>((0.157*(Emission_Cals!$M$17/100))-0.0165)*2000*0.85</f>
        <v>-28.05</v>
      </c>
      <c r="Y14" s="258">
        <f>0.107*(Emission_Cals!$N$17/100)*2000*0.85</f>
        <v>0</v>
      </c>
      <c r="Z14" s="259">
        <f>((0.157*(Emission_Cals!$N$17/100))-0.0165)*2000*0.85</f>
        <v>-28.05</v>
      </c>
      <c r="AA14" s="258">
        <f>0.107*(Emission_Cals!$O$17/100)*2000*0.85</f>
        <v>0</v>
      </c>
      <c r="AB14" s="259">
        <f>((0.157*(Emission_Cals!$O$17/100))-0.0165)*2000*0.85</f>
        <v>-28.05</v>
      </c>
      <c r="AC14" s="258">
        <f>0.107*(Emission_Cals!$P$17/100)*2000*0.85</f>
        <v>0</v>
      </c>
      <c r="AD14" s="259">
        <f>((0.157*(Emission_Cals!$P$17/100))-0.0165)*2000*0.85</f>
        <v>-28.05</v>
      </c>
      <c r="AE14" s="258">
        <f>0.107*(Emission_Cals!$Q$17/100)*2000*0.85</f>
        <v>0</v>
      </c>
      <c r="AF14" s="259">
        <f>((0.157*(Emission_Cals!$Q$17/100))-0.0165)*2000*0.85</f>
        <v>-28.05</v>
      </c>
      <c r="AG14" s="258">
        <f>0.107*(Emission_Cals!$R$17/100)*2000*0.85</f>
        <v>0</v>
      </c>
      <c r="AH14" s="259">
        <f>((0.157*(Emission_Cals!$R$17/100))-0.0165)*2000*0.85</f>
        <v>-28.05</v>
      </c>
    </row>
    <row r="15" spans="1:34" x14ac:dyDescent="0.2">
      <c r="A15" s="264" t="str">
        <f>'Data-Collection'!B96</f>
        <v>L - Open Molding - Nonatomized Mechanical Application - Vacuum bagging - Closed-mold - without Roll Out</v>
      </c>
      <c r="B15" s="268" t="s">
        <v>55</v>
      </c>
      <c r="C15" s="258">
        <f>0.107*(Emission_Cals!$C$17/100)*2000*0.55</f>
        <v>0</v>
      </c>
      <c r="D15" s="259">
        <f>((0.157*(Emission_Cals!$C$17/100))-0.0165)*2000*0.55</f>
        <v>-18.150000000000002</v>
      </c>
      <c r="E15" s="258">
        <f>0.107*(Emission_Cals!$D$17/100)*2000*0.55</f>
        <v>0</v>
      </c>
      <c r="F15" s="259">
        <f>((0.157*(Emission_Cals!$D$17/100))-0.0165)*2000*0.55</f>
        <v>-18.150000000000002</v>
      </c>
      <c r="G15" s="258">
        <f>0.107*(Emission_Cals!$E$17/100)*2000*0.55</f>
        <v>0</v>
      </c>
      <c r="H15" s="259">
        <f>((0.157*(Emission_Cals!$E$17/100))-0.0165)*2000*0.55</f>
        <v>-18.150000000000002</v>
      </c>
      <c r="I15" s="258">
        <f>0.107*(Emission_Cals!$F$17/100)*2000*0.55</f>
        <v>0</v>
      </c>
      <c r="J15" s="259">
        <f>((0.157*(Emission_Cals!$F$17/100))-0.0165)*2000*0.55</f>
        <v>-18.150000000000002</v>
      </c>
      <c r="K15" s="258">
        <f>0.107*(Emission_Cals!$G$17/100)*2000*0.55</f>
        <v>0</v>
      </c>
      <c r="L15" s="259">
        <f>((0.157*(Emission_Cals!$G$17/100))-0.0165)*2000*0.55</f>
        <v>-18.150000000000002</v>
      </c>
      <c r="M15" s="258">
        <f>0.107*(Emission_Cals!$H$17/100)*2000*0.55</f>
        <v>0</v>
      </c>
      <c r="N15" s="259">
        <f>((0.157*(Emission_Cals!$H$17/100))-0.0165)*2000*0.55</f>
        <v>-18.150000000000002</v>
      </c>
      <c r="O15" s="258">
        <f>0.107*(Emission_Cals!$I$17/100)*2000*0.55</f>
        <v>0</v>
      </c>
      <c r="P15" s="259">
        <f>((0.157*(Emission_Cals!$I$17/100))-0.0165)*2000*0.55</f>
        <v>-18.150000000000002</v>
      </c>
      <c r="Q15" s="258">
        <f>0.107*(Emission_Cals!$J$17/100)*2000*0.55</f>
        <v>0</v>
      </c>
      <c r="R15" s="259">
        <f>((0.157*(Emission_Cals!$J$17/100))-0.0165)*2000*0.55</f>
        <v>-18.150000000000002</v>
      </c>
      <c r="S15" s="258">
        <f>0.107*(Emission_Cals!$K$17/100)*2000*0.55</f>
        <v>0</v>
      </c>
      <c r="T15" s="259">
        <f>((0.157*(Emission_Cals!$K$17/100))-0.0165)*2000*0.55</f>
        <v>-18.150000000000002</v>
      </c>
      <c r="U15" s="258">
        <f>0.107*(Emission_Cals!$L$17/100)*2000*0.55</f>
        <v>0</v>
      </c>
      <c r="V15" s="259">
        <f>((0.157*(Emission_Cals!$L$17/100))-0.0165)*2000*0.55</f>
        <v>-18.150000000000002</v>
      </c>
      <c r="W15" s="258">
        <f>0.107*(Emission_Cals!$M$17/100)*2000*0.55</f>
        <v>0</v>
      </c>
      <c r="X15" s="259">
        <f>((0.157*(Emission_Cals!$M$17/100))-0.0165)*2000*0.55</f>
        <v>-18.150000000000002</v>
      </c>
      <c r="Y15" s="258">
        <f>0.107*(Emission_Cals!$N$17/100)*2000*0.55</f>
        <v>0</v>
      </c>
      <c r="Z15" s="259">
        <f>((0.157*(Emission_Cals!$N$17/100))-0.0165)*2000*0.55</f>
        <v>-18.150000000000002</v>
      </c>
      <c r="AA15" s="258">
        <f>0.107*(Emission_Cals!$O$17/100)*2000*0.55</f>
        <v>0</v>
      </c>
      <c r="AB15" s="259">
        <f>((0.157*(Emission_Cals!$O$17/100))-0.0165)*2000*0.55</f>
        <v>-18.150000000000002</v>
      </c>
      <c r="AC15" s="258">
        <f>0.107*(Emission_Cals!$P$17/100)*2000*0.55</f>
        <v>0</v>
      </c>
      <c r="AD15" s="259">
        <f>((0.157*(Emission_Cals!$P$17/100))-0.0165)*2000*0.55</f>
        <v>-18.150000000000002</v>
      </c>
      <c r="AE15" s="258">
        <f>0.107*(Emission_Cals!$Q$17/100)*2000*0.55</f>
        <v>0</v>
      </c>
      <c r="AF15" s="259">
        <f>((0.157*(Emission_Cals!$Q$17/100))-0.0165)*2000*0.55</f>
        <v>-18.150000000000002</v>
      </c>
      <c r="AG15" s="258">
        <f>0.107*(Emission_Cals!$R$17/100)*2000*0.55</f>
        <v>0</v>
      </c>
      <c r="AH15" s="259">
        <f>((0.157*(Emission_Cals!$R$17/100))-0.0165)*2000*0.55</f>
        <v>-18.150000000000002</v>
      </c>
    </row>
    <row r="16" spans="1:34" x14ac:dyDescent="0.2">
      <c r="A16" s="264" t="str">
        <f>'Data-Collection'!B97</f>
        <v>M - Open Molding - Atomized Mechanical Application with Robotic or Automated Spray Control</v>
      </c>
      <c r="B16" s="268" t="s">
        <v>56</v>
      </c>
      <c r="C16" s="258">
        <f>0.169*(Emission_Cals!$C$17/100)*2000*0.77</f>
        <v>0</v>
      </c>
      <c r="D16" s="259">
        <f>0.77*((0.714*(Emission_Cals!$C$17/100))-0.18)*2000</f>
        <v>-277.2</v>
      </c>
      <c r="E16" s="258">
        <f>0.169*(Emission_Cals!$D$17/100)*2000*0.77</f>
        <v>0</v>
      </c>
      <c r="F16" s="259">
        <f>0.77*((0.714*(Emission_Cals!$D$17/100))-0.18)*2000</f>
        <v>-277.2</v>
      </c>
      <c r="G16" s="258">
        <f>0.169*(Emission_Cals!$E$17/100)*2000*0.77</f>
        <v>0</v>
      </c>
      <c r="H16" s="259">
        <f>0.77*((0.714*(Emission_Cals!$E$17/100))-0.18)*2000</f>
        <v>-277.2</v>
      </c>
      <c r="I16" s="258">
        <f>0.169*(Emission_Cals!$F$17/100)*2000*0.77</f>
        <v>0</v>
      </c>
      <c r="J16" s="259">
        <f>0.77*((0.714*(Emission_Cals!$F$17/100))-0.18)*2000</f>
        <v>-277.2</v>
      </c>
      <c r="K16" s="258">
        <f>0.169*(Emission_Cals!$G$17/100)*2000*0.77</f>
        <v>0</v>
      </c>
      <c r="L16" s="259">
        <f>0.77*((0.714*(Emission_Cals!$G$17/100))-0.18)*2000</f>
        <v>-277.2</v>
      </c>
      <c r="M16" s="258">
        <f>0.169*(Emission_Cals!$H$17/100)*2000*0.77</f>
        <v>0</v>
      </c>
      <c r="N16" s="259">
        <f>0.77*((0.714*(Emission_Cals!$H$17/100))-0.18)*2000</f>
        <v>-277.2</v>
      </c>
      <c r="O16" s="258">
        <f>0.169*(Emission_Cals!$I$17/100)*2000*0.77</f>
        <v>0</v>
      </c>
      <c r="P16" s="259">
        <f>0.77*((0.714*(Emission_Cals!$I$17/100))-0.18)*2000</f>
        <v>-277.2</v>
      </c>
      <c r="Q16" s="258">
        <f>0.169*(Emission_Cals!$J$17/100)*2000*0.77</f>
        <v>0</v>
      </c>
      <c r="R16" s="259">
        <f>0.77*((0.714*(Emission_Cals!$J$17/100))-0.18)*2000</f>
        <v>-277.2</v>
      </c>
      <c r="S16" s="258">
        <f>0.169*(Emission_Cals!$K$17/100)*2000*0.77</f>
        <v>0</v>
      </c>
      <c r="T16" s="259">
        <f>0.77*((0.714*(Emission_Cals!$K$17/100))-0.18)*2000</f>
        <v>-277.2</v>
      </c>
      <c r="U16" s="258">
        <f>0.169*(Emission_Cals!$L$17/100)*2000*0.77</f>
        <v>0</v>
      </c>
      <c r="V16" s="259">
        <f>0.77*((0.714*(Emission_Cals!$L$17/100))-0.18)*2000</f>
        <v>-277.2</v>
      </c>
      <c r="W16" s="258">
        <f>0.169*(Emission_Cals!$M$17/100)*2000*0.77</f>
        <v>0</v>
      </c>
      <c r="X16" s="259">
        <f>0.77*((0.714*(Emission_Cals!$M$17/100))-0.18)*2000</f>
        <v>-277.2</v>
      </c>
      <c r="Y16" s="258">
        <f>0.169*(Emission_Cals!$N$17/100)*2000*0.77</f>
        <v>0</v>
      </c>
      <c r="Z16" s="259">
        <f>0.77*((0.714*(Emission_Cals!$N$17/100))-0.18)*2000</f>
        <v>-277.2</v>
      </c>
      <c r="AA16" s="258">
        <f>0.169*(Emission_Cals!$O$17/100)*2000*0.77</f>
        <v>0</v>
      </c>
      <c r="AB16" s="259">
        <f>0.77*((0.714*(Emission_Cals!$O$17/100))-0.18)*2000</f>
        <v>-277.2</v>
      </c>
      <c r="AC16" s="258">
        <f>0.169*(Emission_Cals!$P$17/100)*2000*0.77</f>
        <v>0</v>
      </c>
      <c r="AD16" s="259">
        <f>0.77*((0.714*(Emission_Cals!$P$17/100))-0.18)*2000</f>
        <v>-277.2</v>
      </c>
      <c r="AE16" s="258">
        <f>0.169*(Emission_Cals!$Q$17/100)*2000*0.77</f>
        <v>0</v>
      </c>
      <c r="AF16" s="259">
        <f>0.77*((0.714*(Emission_Cals!$Q$17/100))-0.18)*2000</f>
        <v>-277.2</v>
      </c>
      <c r="AG16" s="258">
        <f>0.169*(Emission_Cals!$R$17/100)*2000*0.77</f>
        <v>0</v>
      </c>
      <c r="AH16" s="259">
        <f>0.77*((0.714*(Emission_Cals!$R$17/100))-0.18)*2000</f>
        <v>-277.2</v>
      </c>
    </row>
    <row r="17" spans="1:34" x14ac:dyDescent="0.2">
      <c r="A17" s="264" t="str">
        <f>'Data-Collection'!B98</f>
        <v>N - Open Molding - Filament Application - Nonvapor-suppressed Resin</v>
      </c>
      <c r="B17" s="268" t="s">
        <v>57</v>
      </c>
      <c r="C17" s="258">
        <f>0.184*(Emission_Cals!$C$17/100)*2000</f>
        <v>0</v>
      </c>
      <c r="D17" s="259">
        <f>((0.2746*(Emission_Cals!$C$17/100))-0.0298)*2000</f>
        <v>-59.6</v>
      </c>
      <c r="E17" s="258">
        <f>0.184*(Emission_Cals!$D$17/100)*2000</f>
        <v>0</v>
      </c>
      <c r="F17" s="259">
        <f>((0.2746*(Emission_Cals!$D$17/100))-0.0298)*2000</f>
        <v>-59.6</v>
      </c>
      <c r="G17" s="258">
        <f>0.184*(Emission_Cals!$E$17/100)*2000</f>
        <v>0</v>
      </c>
      <c r="H17" s="259">
        <f>((0.2746*(Emission_Cals!$E$17/100))-0.0298)*2000</f>
        <v>-59.6</v>
      </c>
      <c r="I17" s="258">
        <f>0.184*(Emission_Cals!$F$17/100)*2000</f>
        <v>0</v>
      </c>
      <c r="J17" s="259">
        <f>((0.2746*(Emission_Cals!$F$17/100))-0.0298)*2000</f>
        <v>-59.6</v>
      </c>
      <c r="K17" s="258">
        <f>0.184*(Emission_Cals!$G$17/100)*2000</f>
        <v>0</v>
      </c>
      <c r="L17" s="259">
        <f>((0.2746*(Emission_Cals!$G$17/100))-0.0298)*2000</f>
        <v>-59.6</v>
      </c>
      <c r="M17" s="258">
        <f>0.184*(Emission_Cals!$H$17/100)*2000</f>
        <v>0</v>
      </c>
      <c r="N17" s="259">
        <f>((0.2746*(Emission_Cals!$H$17/100))-0.0298)*2000</f>
        <v>-59.6</v>
      </c>
      <c r="O17" s="258">
        <f>0.184*(Emission_Cals!$I$17/100)*2000</f>
        <v>0</v>
      </c>
      <c r="P17" s="259">
        <f>((0.2746*(Emission_Cals!$I$17/100))-0.0298)*2000</f>
        <v>-59.6</v>
      </c>
      <c r="Q17" s="258">
        <f>0.184*(Emission_Cals!$J$17/100)*2000</f>
        <v>0</v>
      </c>
      <c r="R17" s="259">
        <f>((0.2746*(Emission_Cals!$J$17/100))-0.0298)*2000</f>
        <v>-59.6</v>
      </c>
      <c r="S17" s="258">
        <f>0.184*(Emission_Cals!$K$17/100)*2000</f>
        <v>0</v>
      </c>
      <c r="T17" s="259">
        <f>((0.2746*(Emission_Cals!$K$17/100))-0.0298)*2000</f>
        <v>-59.6</v>
      </c>
      <c r="U17" s="258">
        <f>0.184*(Emission_Cals!$L$17/100)*2000</f>
        <v>0</v>
      </c>
      <c r="V17" s="259">
        <f>((0.2746*(Emission_Cals!$L$17/100))-0.0298)*2000</f>
        <v>-59.6</v>
      </c>
      <c r="W17" s="258">
        <f>0.184*(Emission_Cals!$M$17/100)*2000</f>
        <v>0</v>
      </c>
      <c r="X17" s="259">
        <f>((0.2746*(Emission_Cals!$M$17/100))-0.0298)*2000</f>
        <v>-59.6</v>
      </c>
      <c r="Y17" s="258">
        <f>0.184*(Emission_Cals!$N$17/100)*2000</f>
        <v>0</v>
      </c>
      <c r="Z17" s="259">
        <f>((0.2746*(Emission_Cals!$N$17/100))-0.0298)*2000</f>
        <v>-59.6</v>
      </c>
      <c r="AA17" s="258">
        <f>0.184*(Emission_Cals!$O$17/100)*2000</f>
        <v>0</v>
      </c>
      <c r="AB17" s="259">
        <f>((0.2746*(Emission_Cals!$O$17/100))-0.0298)*2000</f>
        <v>-59.6</v>
      </c>
      <c r="AC17" s="258">
        <f>0.184*(Emission_Cals!$P$17/100)*2000</f>
        <v>0</v>
      </c>
      <c r="AD17" s="259">
        <f>((0.2746*(Emission_Cals!$P$17/100))-0.0298)*2000</f>
        <v>-59.6</v>
      </c>
      <c r="AE17" s="258">
        <f>0.184*(Emission_Cals!$Q$17/100)*2000</f>
        <v>0</v>
      </c>
      <c r="AF17" s="259">
        <f>((0.2746*(Emission_Cals!$Q$17/100))-0.0298)*2000</f>
        <v>-59.6</v>
      </c>
      <c r="AG17" s="258">
        <f>0.184*(Emission_Cals!$R$17/100)*2000</f>
        <v>0</v>
      </c>
      <c r="AH17" s="259">
        <f>((0.2746*(Emission_Cals!$R$17/100))-0.0298)*2000</f>
        <v>-59.6</v>
      </c>
    </row>
    <row r="18" spans="1:34" x14ac:dyDescent="0.2">
      <c r="A18" s="264" t="str">
        <f>'Data-Collection'!B99</f>
        <v>O - Open Molding - Filament Application - Vapor-suppressed Resin</v>
      </c>
      <c r="B18" s="268" t="s">
        <v>58</v>
      </c>
      <c r="C18" s="260">
        <f>0.12*(Emission_Cals!$C$17/100)*2000</f>
        <v>0</v>
      </c>
      <c r="D18" s="259">
        <f>((0.2746*(Emission_Cals!$C$17/100))-0.0298)*2000*0.65</f>
        <v>-38.74</v>
      </c>
      <c r="E18" s="260">
        <f>0.12*(Emission_Cals!$D$17/100)*2000</f>
        <v>0</v>
      </c>
      <c r="F18" s="259">
        <f>((0.2746*(Emission_Cals!$D$17/100))-0.0298)*2000*0.65</f>
        <v>-38.74</v>
      </c>
      <c r="G18" s="260">
        <f>0.12*(Emission_Cals!$E$17/100)*2000</f>
        <v>0</v>
      </c>
      <c r="H18" s="259">
        <f>((0.2746*(Emission_Cals!$E$17/100))-0.0298)*2000*0.65</f>
        <v>-38.74</v>
      </c>
      <c r="I18" s="260">
        <f>0.12*(Emission_Cals!$F$17/100)*2000</f>
        <v>0</v>
      </c>
      <c r="J18" s="259">
        <f>((0.2746*(Emission_Cals!$F$17/100))-0.0298)*2000*0.65</f>
        <v>-38.74</v>
      </c>
      <c r="K18" s="260">
        <f>0.12*(Emission_Cals!$G$17/100)*2000</f>
        <v>0</v>
      </c>
      <c r="L18" s="259">
        <f>((0.2746*(Emission_Cals!$G$17/100))-0.0298)*2000*0.65</f>
        <v>-38.74</v>
      </c>
      <c r="M18" s="260">
        <f>0.12*(Emission_Cals!$H$17/100)*2000</f>
        <v>0</v>
      </c>
      <c r="N18" s="259">
        <f>((0.2746*(Emission_Cals!$H$17/100))-0.0298)*2000*0.65</f>
        <v>-38.74</v>
      </c>
      <c r="O18" s="260">
        <f>0.12*(Emission_Cals!$I$17/100)*2000</f>
        <v>0</v>
      </c>
      <c r="P18" s="259">
        <f>((0.2746*(Emission_Cals!$I$17/100))-0.0298)*2000*0.65</f>
        <v>-38.74</v>
      </c>
      <c r="Q18" s="260">
        <f>0.12*(Emission_Cals!$J$17/100)*2000</f>
        <v>0</v>
      </c>
      <c r="R18" s="259">
        <f>((0.2746*(Emission_Cals!$J$17/100))-0.0298)*2000*0.65</f>
        <v>-38.74</v>
      </c>
      <c r="S18" s="260">
        <f>0.12*(Emission_Cals!$K$17/100)*2000</f>
        <v>0</v>
      </c>
      <c r="T18" s="259">
        <f>((0.2746*(Emission_Cals!$K$17/100))-0.0298)*2000*0.65</f>
        <v>-38.74</v>
      </c>
      <c r="U18" s="260">
        <f>0.12*(Emission_Cals!$L$17/100)*2000</f>
        <v>0</v>
      </c>
      <c r="V18" s="259">
        <f>((0.2746*(Emission_Cals!$L$17/100))-0.0298)*2000*0.65</f>
        <v>-38.74</v>
      </c>
      <c r="W18" s="260">
        <f>0.12*(Emission_Cals!$M$17/100)*2000</f>
        <v>0</v>
      </c>
      <c r="X18" s="259">
        <f>((0.2746*(Emission_Cals!$M$17/100))-0.0298)*2000*0.65</f>
        <v>-38.74</v>
      </c>
      <c r="Y18" s="260">
        <f>0.12*(Emission_Cals!$N$17/100)*2000</f>
        <v>0</v>
      </c>
      <c r="Z18" s="259">
        <f>((0.2746*(Emission_Cals!$N$17/100))-0.0298)*2000*0.65</f>
        <v>-38.74</v>
      </c>
      <c r="AA18" s="260">
        <f>0.12*(Emission_Cals!$O$17/100)*2000</f>
        <v>0</v>
      </c>
      <c r="AB18" s="259">
        <f>((0.2746*(Emission_Cals!$O$17/100))-0.0298)*2000*0.65</f>
        <v>-38.74</v>
      </c>
      <c r="AC18" s="260">
        <f>0.12*(Emission_Cals!$P$17/100)*2000</f>
        <v>0</v>
      </c>
      <c r="AD18" s="259">
        <f>((0.2746*(Emission_Cals!$P$17/100))-0.0298)*2000*0.65</f>
        <v>-38.74</v>
      </c>
      <c r="AE18" s="260">
        <f>0.12*(Emission_Cals!$Q$17/100)*2000</f>
        <v>0</v>
      </c>
      <c r="AF18" s="259">
        <f>((0.2746*(Emission_Cals!$Q$17/100))-0.0298)*2000*0.65</f>
        <v>-38.74</v>
      </c>
      <c r="AG18" s="260">
        <f>0.12*(Emission_Cals!$R$17/100)*2000</f>
        <v>0</v>
      </c>
      <c r="AH18" s="259">
        <f>((0.2746*(Emission_Cals!$R$17/100))-0.0298)*2000*0.65</f>
        <v>-38.74</v>
      </c>
    </row>
    <row r="19" spans="1:34" x14ac:dyDescent="0.2">
      <c r="A19" s="264" t="str">
        <f>'Data-Collection'!B100</f>
        <v>P - Centrifugal Casting - Heated Air Blown Through Molds - Nonvapor-suppressed Resin</v>
      </c>
      <c r="B19" s="268" t="s">
        <v>59</v>
      </c>
      <c r="C19" s="260">
        <f>0.558*(Emission_Cals!$C$17/100)*2000</f>
        <v>0</v>
      </c>
      <c r="D19" s="261">
        <f>0.558*Emission_Cals!$C$17/100*2000</f>
        <v>0</v>
      </c>
      <c r="E19" s="260">
        <f>0.558*(Emission_Cals!$D$17/100)*2000</f>
        <v>0</v>
      </c>
      <c r="F19" s="261">
        <f>0.558*Emission_Cals!$D$17/100*2000</f>
        <v>0</v>
      </c>
      <c r="G19" s="260">
        <f>0.558*(Emission_Cals!$E$17/100)*2000</f>
        <v>0</v>
      </c>
      <c r="H19" s="261">
        <f>0.558*Emission_Cals!$E$17/100*2000</f>
        <v>0</v>
      </c>
      <c r="I19" s="260">
        <f>0.558*(Emission_Cals!$F$17/100)*2000</f>
        <v>0</v>
      </c>
      <c r="J19" s="261">
        <f>0.558*Emission_Cals!$F$17/100*2000</f>
        <v>0</v>
      </c>
      <c r="K19" s="260">
        <f>0.558*(Emission_Cals!$G$17/100)*2000</f>
        <v>0</v>
      </c>
      <c r="L19" s="261">
        <f>0.558*Emission_Cals!$G$17/100*2000</f>
        <v>0</v>
      </c>
      <c r="M19" s="260">
        <f>0.558*(Emission_Cals!$H$17/100)*2000</f>
        <v>0</v>
      </c>
      <c r="N19" s="261">
        <f>0.558*Emission_Cals!$H$17/100*2000</f>
        <v>0</v>
      </c>
      <c r="O19" s="260">
        <f>0.558*(Emission_Cals!$I$17/100)*2000</f>
        <v>0</v>
      </c>
      <c r="P19" s="261">
        <f>0.558*Emission_Cals!$I$17/100*2000</f>
        <v>0</v>
      </c>
      <c r="Q19" s="260">
        <f>0.558*(Emission_Cals!$J$17/100)*2000</f>
        <v>0</v>
      </c>
      <c r="R19" s="261">
        <f>0.558*Emission_Cals!$J$17/100*2000</f>
        <v>0</v>
      </c>
      <c r="S19" s="260">
        <f>0.558*(Emission_Cals!$K$17/100)*2000</f>
        <v>0</v>
      </c>
      <c r="T19" s="261">
        <f>0.558*Emission_Cals!$K$17/100*2000</f>
        <v>0</v>
      </c>
      <c r="U19" s="260">
        <f>0.558*(Emission_Cals!$L$17/100)*2000</f>
        <v>0</v>
      </c>
      <c r="V19" s="261">
        <f>0.558*Emission_Cals!$L$17/100*2000</f>
        <v>0</v>
      </c>
      <c r="W19" s="260">
        <f>0.558*(Emission_Cals!$M$17/100)*2000</f>
        <v>0</v>
      </c>
      <c r="X19" s="261">
        <f>0.558*Emission_Cals!$M$17/100*2000</f>
        <v>0</v>
      </c>
      <c r="Y19" s="260">
        <f>0.558*(Emission_Cals!$N$17/100)*2000</f>
        <v>0</v>
      </c>
      <c r="Z19" s="261">
        <f>0.558*Emission_Cals!$N$17/100*2000</f>
        <v>0</v>
      </c>
      <c r="AA19" s="260">
        <f>0.558*(Emission_Cals!$O$17/100)*2000</f>
        <v>0</v>
      </c>
      <c r="AB19" s="261">
        <f>0.558*Emission_Cals!$O$17/100*2000</f>
        <v>0</v>
      </c>
      <c r="AC19" s="260">
        <f>0.558*(Emission_Cals!$P$17/100)*2000</f>
        <v>0</v>
      </c>
      <c r="AD19" s="261">
        <f>0.558*Emission_Cals!$P$17/100*2000</f>
        <v>0</v>
      </c>
      <c r="AE19" s="260">
        <f>0.558*(Emission_Cals!$Q$17/100)*2000</f>
        <v>0</v>
      </c>
      <c r="AF19" s="261">
        <f>0.558*Emission_Cals!$Q$17/100*2000</f>
        <v>0</v>
      </c>
      <c r="AG19" s="260">
        <f>0.558*(Emission_Cals!$R$17/100)*2000</f>
        <v>0</v>
      </c>
      <c r="AH19" s="261">
        <f>0.558*Emission_Cals!$R$17/100*2000</f>
        <v>0</v>
      </c>
    </row>
    <row r="20" spans="1:34" x14ac:dyDescent="0.2">
      <c r="A20" s="264" t="str">
        <f>'Data-Collection'!B101</f>
        <v>Q - Centrifugal Casting - Vented Molds with Unheated Air Blown Through - Nonvapor-suppressed Resin</v>
      </c>
      <c r="B20" s="268" t="s">
        <v>60</v>
      </c>
      <c r="C20" s="260">
        <f>0.026*(Emission_Cals!$C$17/100)*2000</f>
        <v>0</v>
      </c>
      <c r="D20" s="261">
        <f>0.026*Emission_Cals!$C$17/100*2000</f>
        <v>0</v>
      </c>
      <c r="E20" s="260">
        <f>0.026*(Emission_Cals!$D$17/100)*2000</f>
        <v>0</v>
      </c>
      <c r="F20" s="261">
        <f>0.026*Emission_Cals!$D$17/100*2000</f>
        <v>0</v>
      </c>
      <c r="G20" s="260">
        <f>0.026*(Emission_Cals!$E$17/100)*2000</f>
        <v>0</v>
      </c>
      <c r="H20" s="261">
        <f>0.026*Emission_Cals!$E$17/100*2000</f>
        <v>0</v>
      </c>
      <c r="I20" s="260">
        <f>0.026*(Emission_Cals!$F$17/100)*2000</f>
        <v>0</v>
      </c>
      <c r="J20" s="261">
        <f>0.026*Emission_Cals!$F$17/100*2000</f>
        <v>0</v>
      </c>
      <c r="K20" s="260">
        <f>0.026*(Emission_Cals!$G$17/100)*2000</f>
        <v>0</v>
      </c>
      <c r="L20" s="261">
        <f>0.026*Emission_Cals!$G$17/100*2000</f>
        <v>0</v>
      </c>
      <c r="M20" s="260">
        <f>0.026*(Emission_Cals!$H$17/100)*2000</f>
        <v>0</v>
      </c>
      <c r="N20" s="261">
        <f>0.026*Emission_Cals!$H$17/100*2000</f>
        <v>0</v>
      </c>
      <c r="O20" s="260">
        <f>0.026*(Emission_Cals!$I$17/100)*2000</f>
        <v>0</v>
      </c>
      <c r="P20" s="261">
        <f>0.026*Emission_Cals!$I$17/100*2000</f>
        <v>0</v>
      </c>
      <c r="Q20" s="260">
        <f>0.026*(Emission_Cals!$J$17/100)*2000</f>
        <v>0</v>
      </c>
      <c r="R20" s="261">
        <f>0.026*Emission_Cals!$J$17/100*2000</f>
        <v>0</v>
      </c>
      <c r="S20" s="260">
        <f>0.026*(Emission_Cals!$K$17/100)*2000</f>
        <v>0</v>
      </c>
      <c r="T20" s="261">
        <f>0.026*Emission_Cals!$K$17/100*2000</f>
        <v>0</v>
      </c>
      <c r="U20" s="260">
        <f>0.026*(Emission_Cals!$L$17/100)*2000</f>
        <v>0</v>
      </c>
      <c r="V20" s="261">
        <f>0.026*Emission_Cals!$L$17/100*2000</f>
        <v>0</v>
      </c>
      <c r="W20" s="260">
        <f>0.026*(Emission_Cals!$M$17/100)*2000</f>
        <v>0</v>
      </c>
      <c r="X20" s="261">
        <f>0.026*Emission_Cals!$M$17/100*2000</f>
        <v>0</v>
      </c>
      <c r="Y20" s="260">
        <f>0.026*(Emission_Cals!$N$17/100)*2000</f>
        <v>0</v>
      </c>
      <c r="Z20" s="261">
        <f>0.026*Emission_Cals!$N$17/100*2000</f>
        <v>0</v>
      </c>
      <c r="AA20" s="260">
        <f>0.026*(Emission_Cals!$O$17/100)*2000</f>
        <v>0</v>
      </c>
      <c r="AB20" s="261">
        <f>0.026*Emission_Cals!$O$17/100*2000</f>
        <v>0</v>
      </c>
      <c r="AC20" s="260">
        <f>0.026*(Emission_Cals!$P$17/100)*2000</f>
        <v>0</v>
      </c>
      <c r="AD20" s="261">
        <f>0.026*Emission_Cals!$P$17/100*2000</f>
        <v>0</v>
      </c>
      <c r="AE20" s="260">
        <f>0.026*(Emission_Cals!$Q$17/100)*2000</f>
        <v>0</v>
      </c>
      <c r="AF20" s="261">
        <f>0.026*Emission_Cals!$Q$17/100*2000</f>
        <v>0</v>
      </c>
      <c r="AG20" s="260">
        <f>0.026*(Emission_Cals!$R$17/100)*2000</f>
        <v>0</v>
      </c>
      <c r="AH20" s="261">
        <f>0.026*Emission_Cals!$R$17/100*2000</f>
        <v>0</v>
      </c>
    </row>
    <row r="21" spans="1:34" x14ac:dyDescent="0.2">
      <c r="A21" s="264" t="str">
        <f>'Data-Collection'!B102</f>
        <v>R - Closed Molding</v>
      </c>
      <c r="B21" s="268" t="s">
        <v>61</v>
      </c>
      <c r="C21" s="258">
        <v>0.39700000000000002</v>
      </c>
      <c r="D21" s="259">
        <v>0.39700000000000002</v>
      </c>
      <c r="E21" s="258">
        <v>0.39700000000000002</v>
      </c>
      <c r="F21" s="259">
        <v>0.39700000000000002</v>
      </c>
      <c r="G21" s="258">
        <v>0.39700000000000002</v>
      </c>
      <c r="H21" s="259">
        <v>0.39700000000000002</v>
      </c>
      <c r="I21" s="258">
        <v>0.39700000000000002</v>
      </c>
      <c r="J21" s="259">
        <v>0.39700000000000002</v>
      </c>
      <c r="K21" s="258">
        <v>0.39700000000000002</v>
      </c>
      <c r="L21" s="259">
        <v>0.39700000000000002</v>
      </c>
      <c r="M21" s="258">
        <v>0.39700000000000002</v>
      </c>
      <c r="N21" s="259">
        <v>0.39700000000000002</v>
      </c>
      <c r="O21" s="258">
        <v>0.39700000000000002</v>
      </c>
      <c r="P21" s="259">
        <v>0.39700000000000002</v>
      </c>
      <c r="Q21" s="258">
        <v>0.39700000000000002</v>
      </c>
      <c r="R21" s="259">
        <v>0.39700000000000002</v>
      </c>
      <c r="S21" s="258">
        <v>0.39700000000000002</v>
      </c>
      <c r="T21" s="259">
        <v>0.39700000000000002</v>
      </c>
      <c r="U21" s="258">
        <v>0.39700000000000002</v>
      </c>
      <c r="V21" s="259">
        <v>0.39700000000000002</v>
      </c>
      <c r="W21" s="258">
        <v>0.39700000000000002</v>
      </c>
      <c r="X21" s="259">
        <v>0.39700000000000002</v>
      </c>
      <c r="Y21" s="258">
        <v>0.39700000000000002</v>
      </c>
      <c r="Z21" s="259">
        <v>0.39700000000000002</v>
      </c>
      <c r="AA21" s="258">
        <v>0.39700000000000002</v>
      </c>
      <c r="AB21" s="259">
        <v>0.39700000000000002</v>
      </c>
      <c r="AC21" s="258">
        <v>0.39700000000000002</v>
      </c>
      <c r="AD21" s="259">
        <v>0.39700000000000002</v>
      </c>
      <c r="AE21" s="258">
        <v>0.39700000000000002</v>
      </c>
      <c r="AF21" s="259">
        <v>0.39700000000000002</v>
      </c>
      <c r="AG21" s="258">
        <v>0.39700000000000002</v>
      </c>
      <c r="AH21" s="259">
        <v>0.39700000000000002</v>
      </c>
    </row>
    <row r="22" spans="1:34" x14ac:dyDescent="0.2">
      <c r="A22" s="264" t="str">
        <f>'Data-Collection'!B103</f>
        <v>S - Other Resins - specify</v>
      </c>
      <c r="B22" s="268" t="s">
        <v>62</v>
      </c>
      <c r="C22" s="258"/>
      <c r="D22" s="259"/>
      <c r="E22" s="258"/>
      <c r="F22" s="259"/>
      <c r="G22" s="258"/>
      <c r="H22" s="259"/>
      <c r="I22" s="258"/>
      <c r="J22" s="259"/>
      <c r="K22" s="258"/>
      <c r="L22" s="259"/>
      <c r="M22" s="258"/>
      <c r="N22" s="259"/>
      <c r="O22" s="258"/>
      <c r="P22" s="259"/>
      <c r="Q22" s="258"/>
      <c r="R22" s="259"/>
      <c r="S22" s="258"/>
      <c r="T22" s="259"/>
      <c r="U22" s="258"/>
      <c r="V22" s="259"/>
      <c r="W22" s="258"/>
      <c r="X22" s="259"/>
      <c r="Y22" s="258"/>
      <c r="Z22" s="259"/>
      <c r="AA22" s="258"/>
      <c r="AB22" s="259"/>
      <c r="AC22" s="258"/>
      <c r="AD22" s="259"/>
      <c r="AE22" s="258"/>
      <c r="AF22" s="259"/>
      <c r="AG22" s="258"/>
      <c r="AH22" s="259"/>
    </row>
    <row r="23" spans="1:34" x14ac:dyDescent="0.2">
      <c r="A23" s="264" t="str">
        <f>'Data-Collection'!B104</f>
        <v>T - Open Molding - Gelcoat - Atomized Spray Application - Nonvapor-suppressed Gelcoat</v>
      </c>
      <c r="B23" s="268" t="s">
        <v>63</v>
      </c>
      <c r="C23" s="260">
        <f>0.445*(Emission_Cals!$C$17/100)*2000</f>
        <v>0</v>
      </c>
      <c r="D23" s="259">
        <f>1.03646*((Emission_Cals!$C$17/100)-0.195)*2000</f>
        <v>-404.21940000000001</v>
      </c>
      <c r="E23" s="260">
        <f>0.445*(Emission_Cals!$D$17/100)*2000</f>
        <v>0</v>
      </c>
      <c r="F23" s="259">
        <f>1.03646*((Emission_Cals!$D$17/100)-0.195)*2000</f>
        <v>-404.21940000000001</v>
      </c>
      <c r="G23" s="260">
        <f>0.445*(Emission_Cals!$E$17/100)*2000</f>
        <v>0</v>
      </c>
      <c r="H23" s="259">
        <f>1.03646*((Emission_Cals!$E$17/100)-0.195)*2000</f>
        <v>-404.21940000000001</v>
      </c>
      <c r="I23" s="260">
        <f>0.445*(Emission_Cals!$F$17/100)*2000</f>
        <v>0</v>
      </c>
      <c r="J23" s="259">
        <f>1.03646*((Emission_Cals!$F$17/100)-0.195)*2000</f>
        <v>-404.21940000000001</v>
      </c>
      <c r="K23" s="260">
        <f>0.445*(Emission_Cals!$G$17/100)*2000</f>
        <v>0</v>
      </c>
      <c r="L23" s="259">
        <f>1.03646*((Emission_Cals!$G$17/100)-0.195)*2000</f>
        <v>-404.21940000000001</v>
      </c>
      <c r="M23" s="260">
        <f>0.445*(Emission_Cals!$H$17/100)*2000</f>
        <v>0</v>
      </c>
      <c r="N23" s="259">
        <f>1.03646*((Emission_Cals!$H$17/100)-0.195)*2000</f>
        <v>-404.21940000000001</v>
      </c>
      <c r="O23" s="260">
        <f>0.445*(Emission_Cals!$I$17/100)*2000</f>
        <v>0</v>
      </c>
      <c r="P23" s="259">
        <f>1.03646*((Emission_Cals!$I$17/100)-0.195)*2000</f>
        <v>-404.21940000000001</v>
      </c>
      <c r="Q23" s="260">
        <f>0.445*(Emission_Cals!$J$17/100)*2000</f>
        <v>0</v>
      </c>
      <c r="R23" s="259">
        <f>1.03646*((Emission_Cals!$J$17/100)-0.195)*2000</f>
        <v>-404.21940000000001</v>
      </c>
      <c r="S23" s="260">
        <f>0.445*(Emission_Cals!$K$17/100)*2000</f>
        <v>0</v>
      </c>
      <c r="T23" s="259">
        <f>1.03646*((Emission_Cals!$K$17/100)-0.195)*2000</f>
        <v>-404.21940000000001</v>
      </c>
      <c r="U23" s="260">
        <f>0.445*(Emission_Cals!$L$17/100)*2000</f>
        <v>0</v>
      </c>
      <c r="V23" s="259">
        <f>1.03646*((Emission_Cals!$L$17/100)-0.195)*2000</f>
        <v>-404.21940000000001</v>
      </c>
      <c r="W23" s="260">
        <f>0.445*(Emission_Cals!$M$17/100)*2000</f>
        <v>0</v>
      </c>
      <c r="X23" s="259">
        <f>1.03646*((Emission_Cals!$M$17/100)-0.195)*2000</f>
        <v>-404.21940000000001</v>
      </c>
      <c r="Y23" s="260">
        <f>0.445*(Emission_Cals!$N$17/100)*2000</f>
        <v>0</v>
      </c>
      <c r="Z23" s="259">
        <f>1.03646*((Emission_Cals!$N$17/100)-0.195)*2000</f>
        <v>-404.21940000000001</v>
      </c>
      <c r="AA23" s="260">
        <f>0.445*(Emission_Cals!$O$17/100)*2000</f>
        <v>0</v>
      </c>
      <c r="AB23" s="259">
        <f>1.03646*((Emission_Cals!$O$17/100)-0.195)*2000</f>
        <v>-404.21940000000001</v>
      </c>
      <c r="AC23" s="260">
        <f>0.445*(Emission_Cals!$P$17/100)*2000</f>
        <v>0</v>
      </c>
      <c r="AD23" s="259">
        <f>1.03646*((Emission_Cals!$P$17/100)-0.195)*2000</f>
        <v>-404.21940000000001</v>
      </c>
      <c r="AE23" s="260">
        <f>0.445*(Emission_Cals!$Q$17/100)*2000</f>
        <v>0</v>
      </c>
      <c r="AF23" s="259">
        <f>1.03646*((Emission_Cals!$Q$17/100)-0.195)*2000</f>
        <v>-404.21940000000001</v>
      </c>
      <c r="AG23" s="260">
        <f>0.445*(Emission_Cals!$R$17/100)*2000</f>
        <v>0</v>
      </c>
      <c r="AH23" s="259">
        <f>1.03646*((Emission_Cals!$R$17/100)-0.195)*2000</f>
        <v>-404.21940000000001</v>
      </c>
    </row>
    <row r="24" spans="1:34" x14ac:dyDescent="0.2">
      <c r="A24" s="264" t="str">
        <f>'Data-Collection'!B105</f>
        <v>U - Open Molding - Gelcoat - Nonatomized Spray Application - Nonvapor-suppressed Gelcoat</v>
      </c>
      <c r="B24" s="268" t="s">
        <v>64</v>
      </c>
      <c r="C24" s="260">
        <f>0.185*(Emission_Cals!$C$17/100)*2000</f>
        <v>0</v>
      </c>
      <c r="D24" s="259">
        <f>((0.4506*(Emission_Cals!$C$17/100))-0.0505)*2000</f>
        <v>-101</v>
      </c>
      <c r="E24" s="260">
        <f>0.185*(Emission_Cals!$D$17/100)*2000</f>
        <v>0</v>
      </c>
      <c r="F24" s="259">
        <f>((0.4506*(Emission_Cals!$D$17/100))-0.0505)*2000</f>
        <v>-101</v>
      </c>
      <c r="G24" s="260">
        <f>0.185*(Emission_Cals!$E$17/100)*2000</f>
        <v>0</v>
      </c>
      <c r="H24" s="259">
        <f>((0.4506*(Emission_Cals!$E$17/100))-0.0505)*2000</f>
        <v>-101</v>
      </c>
      <c r="I24" s="260">
        <f>0.185*(Emission_Cals!$F$17/100)*2000</f>
        <v>0</v>
      </c>
      <c r="J24" s="259">
        <f>((0.4506*(Emission_Cals!$F$17/100))-0.0505)*2000</f>
        <v>-101</v>
      </c>
      <c r="K24" s="260">
        <f>0.185*(Emission_Cals!$G$17/100)*2000</f>
        <v>0</v>
      </c>
      <c r="L24" s="259">
        <f>((0.4506*(Emission_Cals!$G$17/100))-0.0505)*2000</f>
        <v>-101</v>
      </c>
      <c r="M24" s="260">
        <f>0.185*(Emission_Cals!$H$17/100)*2000</f>
        <v>0</v>
      </c>
      <c r="N24" s="259">
        <f>((0.4506*(Emission_Cals!$H$17/100))-0.0505)*2000</f>
        <v>-101</v>
      </c>
      <c r="O24" s="260">
        <f>0.185*(Emission_Cals!$I$17/100)*2000</f>
        <v>0</v>
      </c>
      <c r="P24" s="259">
        <f>((0.4506*(Emission_Cals!$I$17/100))-0.0505)*2000</f>
        <v>-101</v>
      </c>
      <c r="Q24" s="260">
        <f>0.185*(Emission_Cals!$J$17/100)*2000</f>
        <v>0</v>
      </c>
      <c r="R24" s="259">
        <f>((0.4506*(Emission_Cals!$J$17/100))-0.0505)*2000</f>
        <v>-101</v>
      </c>
      <c r="S24" s="260">
        <f>0.185*(Emission_Cals!$K$17/100)*2000</f>
        <v>0</v>
      </c>
      <c r="T24" s="259">
        <f>((0.4506*(Emission_Cals!$K$17/100))-0.0505)*2000</f>
        <v>-101</v>
      </c>
      <c r="U24" s="260">
        <f>0.185*(Emission_Cals!$L$17/100)*2000</f>
        <v>0</v>
      </c>
      <c r="V24" s="259">
        <f>((0.4506*(Emission_Cals!$L$17/100))-0.0505)*2000</f>
        <v>-101</v>
      </c>
      <c r="W24" s="260">
        <f>0.185*(Emission_Cals!$M$17/100)*2000</f>
        <v>0</v>
      </c>
      <c r="X24" s="259">
        <f>((0.4506*(Emission_Cals!$M$17/100))-0.0505)*2000</f>
        <v>-101</v>
      </c>
      <c r="Y24" s="260">
        <f>0.185*(Emission_Cals!$N$17/100)*2000</f>
        <v>0</v>
      </c>
      <c r="Z24" s="259">
        <f>((0.4506*(Emission_Cals!$N$17/100))-0.0505)*2000</f>
        <v>-101</v>
      </c>
      <c r="AA24" s="260">
        <f>0.185*(Emission_Cals!$O$17/100)*2000</f>
        <v>0</v>
      </c>
      <c r="AB24" s="259">
        <f>((0.4506*(Emission_Cals!$O$17/100))-0.0505)*2000</f>
        <v>-101</v>
      </c>
      <c r="AC24" s="260">
        <f>0.185*(Emission_Cals!$P$17/100)*2000</f>
        <v>0</v>
      </c>
      <c r="AD24" s="259">
        <f>((0.4506*(Emission_Cals!$P$17/100))-0.0505)*2000</f>
        <v>-101</v>
      </c>
      <c r="AE24" s="260">
        <f>0.185*(Emission_Cals!$Q$17/100)*2000</f>
        <v>0</v>
      </c>
      <c r="AF24" s="259">
        <f>((0.4506*(Emission_Cals!$Q$17/100))-0.0505)*2000</f>
        <v>-101</v>
      </c>
      <c r="AG24" s="260">
        <f>0.185*(Emission_Cals!$R$17/100)*2000</f>
        <v>0</v>
      </c>
      <c r="AH24" s="259">
        <f>((0.4506*(Emission_Cals!$R$17/100))-0.0505)*2000</f>
        <v>-101</v>
      </c>
    </row>
    <row r="25" spans="1:34" x14ac:dyDescent="0.2">
      <c r="A25" s="264" t="str">
        <f>'Data-Collection'!B106</f>
        <v>V- Open Molding - Gelcoat - Atomized Application with Robotic or Automated Spray Control</v>
      </c>
      <c r="B25" s="268" t="s">
        <v>65</v>
      </c>
      <c r="C25" s="260">
        <f>0.445*(Emission_Cals!$C$17/100)*2000*0.73</f>
        <v>0</v>
      </c>
      <c r="D25" s="261">
        <f>((1.03646*(Emission_Cals!$C$17/100))-0.195)*2000*0.73</f>
        <v>-284.7</v>
      </c>
      <c r="E25" s="260">
        <f>0.445*(Emission_Cals!$D$17/100)*2000*0.73</f>
        <v>0</v>
      </c>
      <c r="F25" s="261">
        <f>((1.03646*(Emission_Cals!$D$17/100))-0.195)*2000*0.73</f>
        <v>-284.7</v>
      </c>
      <c r="G25" s="260">
        <f>0.445*(Emission_Cals!$E$17/100)*2000*0.73</f>
        <v>0</v>
      </c>
      <c r="H25" s="261">
        <f>((1.03646*(Emission_Cals!$E$17/100))-0.195)*2000*0.73</f>
        <v>-284.7</v>
      </c>
      <c r="I25" s="260">
        <f>0.445*(Emission_Cals!$F$17/100)*2000*0.73</f>
        <v>0</v>
      </c>
      <c r="J25" s="261">
        <f>((1.03646*(Emission_Cals!$F$17/100))-0.195)*2000*0.73</f>
        <v>-284.7</v>
      </c>
      <c r="K25" s="260">
        <f>0.445*(Emission_Cals!$G$17/100)*2000*0.73</f>
        <v>0</v>
      </c>
      <c r="L25" s="261">
        <f>((1.03646*(Emission_Cals!$G$17/100))-0.195)*2000*0.73</f>
        <v>-284.7</v>
      </c>
      <c r="M25" s="260">
        <f>0.445*(Emission_Cals!$H$17/100)*2000*0.73</f>
        <v>0</v>
      </c>
      <c r="N25" s="261">
        <f>((1.03646*(Emission_Cals!$H$17/100))-0.195)*2000*0.73</f>
        <v>-284.7</v>
      </c>
      <c r="O25" s="260">
        <f>0.445*(Emission_Cals!$I$17/100)*2000*0.73</f>
        <v>0</v>
      </c>
      <c r="P25" s="261">
        <f>((1.03646*(Emission_Cals!$I$17/100))-0.195)*2000*0.73</f>
        <v>-284.7</v>
      </c>
      <c r="Q25" s="260">
        <f>0.445*(Emission_Cals!$J$17/100)*2000*0.73</f>
        <v>0</v>
      </c>
      <c r="R25" s="261">
        <f>((1.03646*(Emission_Cals!$J$17/100))-0.195)*2000*0.73</f>
        <v>-284.7</v>
      </c>
      <c r="S25" s="260">
        <f>0.445*(Emission_Cals!$K$17/100)*2000*0.73</f>
        <v>0</v>
      </c>
      <c r="T25" s="261">
        <f>((1.03646*(Emission_Cals!$K$17/100))-0.195)*2000*0.73</f>
        <v>-284.7</v>
      </c>
      <c r="U25" s="260">
        <f>0.445*(Emission_Cals!$L$17/100)*2000*0.73</f>
        <v>0</v>
      </c>
      <c r="V25" s="261">
        <f>((1.03646*(Emission_Cals!$L$17/100))-0.195)*2000*0.73</f>
        <v>-284.7</v>
      </c>
      <c r="W25" s="260">
        <f>0.445*(Emission_Cals!$M$17/100)*2000*0.73</f>
        <v>0</v>
      </c>
      <c r="X25" s="261">
        <f>((1.03646*(Emission_Cals!$M$17/100))-0.195)*2000*0.73</f>
        <v>-284.7</v>
      </c>
      <c r="Y25" s="260">
        <f>0.445*(Emission_Cals!$N$17/100)*2000*0.73</f>
        <v>0</v>
      </c>
      <c r="Z25" s="261">
        <f>((1.03646*(Emission_Cals!$N$17/100))-0.195)*2000*0.73</f>
        <v>-284.7</v>
      </c>
      <c r="AA25" s="260">
        <f>0.445*(Emission_Cals!$O$17/100)*2000*0.73</f>
        <v>0</v>
      </c>
      <c r="AB25" s="261">
        <f>((1.03646*(Emission_Cals!$O$17/100))-0.195)*2000*0.73</f>
        <v>-284.7</v>
      </c>
      <c r="AC25" s="260">
        <f>0.445*(Emission_Cals!$P$17/100)*2000*0.73</f>
        <v>0</v>
      </c>
      <c r="AD25" s="261">
        <f>((1.03646*(Emission_Cals!$P$17/100))-0.195)*2000*0.73</f>
        <v>-284.7</v>
      </c>
      <c r="AE25" s="260">
        <f>0.445*(Emission_Cals!$Q$17/100)*2000*0.73</f>
        <v>0</v>
      </c>
      <c r="AF25" s="261">
        <f>((1.03646*(Emission_Cals!$Q$17/100))-0.195)*2000*0.73</f>
        <v>-284.7</v>
      </c>
      <c r="AG25" s="260">
        <f>0.445*(Emission_Cals!$R$17/100)*2000*0.73</f>
        <v>0</v>
      </c>
      <c r="AH25" s="261">
        <f>((1.03646*(Emission_Cals!$R$17/100))-0.195)*2000*0.73</f>
        <v>-284.7</v>
      </c>
    </row>
    <row r="26" spans="1:34" x14ac:dyDescent="0.2">
      <c r="A26" s="264" t="str">
        <f>'Data-Collection'!B107</f>
        <v>W- Open Molding - Gelcoat - Manual Application - Nonvapor-suppressed Gelcoat</v>
      </c>
      <c r="B26" s="268" t="s">
        <v>152</v>
      </c>
      <c r="C26" s="260">
        <f>0.126*(Emission_Cals!$C$17/100)*2000</f>
        <v>0</v>
      </c>
      <c r="D26" s="261">
        <f>((0.286*(Emission_Cals!$C$17/100))-0.0529)*2000</f>
        <v>-105.80000000000001</v>
      </c>
      <c r="E26" s="260">
        <f>0.126*(Emission_Cals!$D$17/100)*2000</f>
        <v>0</v>
      </c>
      <c r="F26" s="261">
        <f>((0.286*(Emission_Cals!$D$17/100))-0.0529)*2000</f>
        <v>-105.80000000000001</v>
      </c>
      <c r="G26" s="260">
        <f>0.126*(Emission_Cals!$E$17/100)*2000</f>
        <v>0</v>
      </c>
      <c r="H26" s="261">
        <f>((0.286*(Emission_Cals!$E$17/100))-0.0529)*2000</f>
        <v>-105.80000000000001</v>
      </c>
      <c r="I26" s="260">
        <f>0.126*(Emission_Cals!$F$17/100)*2000</f>
        <v>0</v>
      </c>
      <c r="J26" s="261">
        <f>((0.286*(Emission_Cals!$F$17/100))-0.0529)*2000</f>
        <v>-105.80000000000001</v>
      </c>
      <c r="K26" s="260">
        <f>0.126*(Emission_Cals!$G$17/100)*2000</f>
        <v>0</v>
      </c>
      <c r="L26" s="261">
        <f>((0.286*(Emission_Cals!$G$17/100))-0.0529)*2000</f>
        <v>-105.80000000000001</v>
      </c>
      <c r="M26" s="260">
        <f>0.126*(Emission_Cals!$H$17/100)*2000</f>
        <v>0</v>
      </c>
      <c r="N26" s="261">
        <f>((0.286*(Emission_Cals!$H$17/100))-0.0529)*2000</f>
        <v>-105.80000000000001</v>
      </c>
      <c r="O26" s="260">
        <f>0.126*(Emission_Cals!$I$17/100)*2000</f>
        <v>0</v>
      </c>
      <c r="P26" s="261">
        <f>((0.286*(Emission_Cals!$I$17/100))-0.0529)*2000</f>
        <v>-105.80000000000001</v>
      </c>
      <c r="Q26" s="260">
        <f>0.126*(Emission_Cals!$J$17/100)*2000</f>
        <v>0</v>
      </c>
      <c r="R26" s="261">
        <f>((0.286*(Emission_Cals!$J$17/100))-0.0529)*2000</f>
        <v>-105.80000000000001</v>
      </c>
      <c r="S26" s="260">
        <f>0.126*(Emission_Cals!$K$17/100)*2000</f>
        <v>0</v>
      </c>
      <c r="T26" s="261">
        <f>((0.286*(Emission_Cals!$K$17/100))-0.0529)*2000</f>
        <v>-105.80000000000001</v>
      </c>
      <c r="U26" s="260">
        <f>0.126*(Emission_Cals!$L$17/100)*2000</f>
        <v>0</v>
      </c>
      <c r="V26" s="261">
        <f>((0.286*(Emission_Cals!$L$17/100))-0.0529)*2000</f>
        <v>-105.80000000000001</v>
      </c>
      <c r="W26" s="260">
        <f>0.126*(Emission_Cals!$M$17/100)*2000</f>
        <v>0</v>
      </c>
      <c r="X26" s="261">
        <f>((0.286*(Emission_Cals!$M$17/100))-0.0529)*2000</f>
        <v>-105.80000000000001</v>
      </c>
      <c r="Y26" s="260">
        <f>0.126*(Emission_Cals!$N$17/100)*2000</f>
        <v>0</v>
      </c>
      <c r="Z26" s="261">
        <f>((0.286*(Emission_Cals!$N$17/100))-0.0529)*2000</f>
        <v>-105.80000000000001</v>
      </c>
      <c r="AA26" s="260">
        <f>0.126*(Emission_Cals!$O$17/100)*2000</f>
        <v>0</v>
      </c>
      <c r="AB26" s="261">
        <f>((0.286*(Emission_Cals!$O$17/100))-0.0529)*2000</f>
        <v>-105.80000000000001</v>
      </c>
      <c r="AC26" s="260">
        <f>0.126*(Emission_Cals!$P$17/100)*2000</f>
        <v>0</v>
      </c>
      <c r="AD26" s="261">
        <f>((0.286*(Emission_Cals!$P$17/100))-0.0529)*2000</f>
        <v>-105.80000000000001</v>
      </c>
      <c r="AE26" s="260">
        <f>0.126*(Emission_Cals!$Q$17/100)*2000</f>
        <v>0</v>
      </c>
      <c r="AF26" s="261">
        <f>((0.286*(Emission_Cals!$Q$17/100))-0.0529)*2000</f>
        <v>-105.80000000000001</v>
      </c>
      <c r="AG26" s="260">
        <f>0.126*(Emission_Cals!$R$17/100)*2000</f>
        <v>0</v>
      </c>
      <c r="AH26" s="261">
        <f>((0.286*(Emission_Cals!$R$17/100))-0.0529)*2000</f>
        <v>-105.80000000000001</v>
      </c>
    </row>
    <row r="27" spans="1:34" x14ac:dyDescent="0.2">
      <c r="A27" s="264" t="str">
        <f>'Data-Collection'!B108</f>
        <v>X - Open Molding - Gelcoat - Nonatomized Spray Application - Vapor-suppressed Gelcoat</v>
      </c>
      <c r="B27" s="268" t="s">
        <v>153</v>
      </c>
      <c r="C27" s="260">
        <f>0.185*(Emission_Cals!C$17/100)*2000*(1-(0.45*Emission_Cals!C$20))</f>
        <v>0</v>
      </c>
      <c r="D27" s="259">
        <f>((0.4506*(Emission_Cals!C$17/100))-0.0505)*2000*(1-(0.45*Emission_Cals!C$20))</f>
        <v>-101</v>
      </c>
      <c r="E27" s="260">
        <f>0.185*(Emission_Cals!D$17/100)*2000*(1-(0.45*Emission_Cals!D$20))</f>
        <v>0</v>
      </c>
      <c r="F27" s="259">
        <f>((0.4506*(Emission_Cals!D$17/100))-0.0505)*2000*(1-(0.45*Emission_Cals!D$20))</f>
        <v>-101</v>
      </c>
      <c r="G27" s="260">
        <f>0.185*(Emission_Cals!E$17/100)*2000*(1-(0.45*Emission_Cals!E$20))</f>
        <v>0</v>
      </c>
      <c r="H27" s="259">
        <f>((0.4506*(Emission_Cals!E$17/100))-0.0505)*2000*(1-(0.45*Emission_Cals!E$20))</f>
        <v>-101</v>
      </c>
      <c r="I27" s="260">
        <f>0.185*(Emission_Cals!F$17/100)*2000*(1-(0.45*Emission_Cals!F$20))</f>
        <v>0</v>
      </c>
      <c r="J27" s="259">
        <f>((0.4506*(Emission_Cals!F$17/100))-0.0505)*2000*(1-(0.45*Emission_Cals!F$20))</f>
        <v>-101</v>
      </c>
      <c r="K27" s="260">
        <f>0.185*(Emission_Cals!G$17/100)*2000*(1-(0.45*Emission_Cals!G$20))</f>
        <v>0</v>
      </c>
      <c r="L27" s="259">
        <f>((0.4506*(Emission_Cals!G$17/100))-0.0505)*2000*(1-(0.45*Emission_Cals!G$20))</f>
        <v>-101</v>
      </c>
      <c r="M27" s="260">
        <f>0.185*(Emission_Cals!H$17/100)*2000*(1-(0.45*Emission_Cals!H$20))</f>
        <v>0</v>
      </c>
      <c r="N27" s="259">
        <f>((0.4506*(Emission_Cals!H$17/100))-0.0505)*2000*(1-(0.45*Emission_Cals!H$20))</f>
        <v>-101</v>
      </c>
      <c r="O27" s="260">
        <f>0.185*(Emission_Cals!I$17/100)*2000*(1-(0.45*Emission_Cals!I$20))</f>
        <v>0</v>
      </c>
      <c r="P27" s="259">
        <f>((0.4506*(Emission_Cals!I$17/100))-0.0505)*2000*(1-(0.45*Emission_Cals!I$20))</f>
        <v>-101</v>
      </c>
      <c r="Q27" s="260">
        <f>0.185*(Emission_Cals!J$17/100)*2000*(1-(0.45*Emission_Cals!J$20))</f>
        <v>0</v>
      </c>
      <c r="R27" s="259">
        <f>((0.4506*(Emission_Cals!J$17/100))-0.0505)*2000*(1-(0.45*Emission_Cals!J$20))</f>
        <v>-101</v>
      </c>
      <c r="S27" s="260">
        <f>0.185*(Emission_Cals!K$17/100)*2000*(1-(0.45*Emission_Cals!K$20))</f>
        <v>0</v>
      </c>
      <c r="T27" s="259">
        <f>((0.4506*(Emission_Cals!K$17/100))-0.0505)*2000*(1-(0.45*Emission_Cals!K$20))</f>
        <v>-101</v>
      </c>
      <c r="U27" s="260">
        <f>0.185*(Emission_Cals!L$17/100)*2000*(1-(0.45*Emission_Cals!L$20))</f>
        <v>0</v>
      </c>
      <c r="V27" s="259">
        <f>((0.4506*(Emission_Cals!L$17/100))-0.0505)*2000*(1-(0.45*Emission_Cals!L$20))</f>
        <v>-101</v>
      </c>
      <c r="W27" s="260">
        <f>0.185*(Emission_Cals!M$17/100)*2000*(1-(0.45*Emission_Cals!M$20))</f>
        <v>0</v>
      </c>
      <c r="X27" s="259">
        <f>((0.4506*(Emission_Cals!M$17/100))-0.0505)*2000*(1-(0.45*Emission_Cals!M$20))</f>
        <v>-101</v>
      </c>
      <c r="Y27" s="260">
        <f>0.185*(Emission_Cals!N$17/100)*2000*(1-(0.45*Emission_Cals!N$20))</f>
        <v>0</v>
      </c>
      <c r="Z27" s="259">
        <f>((0.4506*(Emission_Cals!N$17/100))-0.0505)*2000*(1-(0.45*Emission_Cals!N$20))</f>
        <v>-101</v>
      </c>
      <c r="AA27" s="260">
        <f>0.185*(Emission_Cals!O$17/100)*2000*(1-(0.45*Emission_Cals!O$20))</f>
        <v>0</v>
      </c>
      <c r="AB27" s="259">
        <f>((0.4506*(Emission_Cals!O$17/100))-0.0505)*2000*(1-(0.45*Emission_Cals!O$20))</f>
        <v>-101</v>
      </c>
      <c r="AC27" s="260">
        <f>0.185*(Emission_Cals!P$17/100)*2000*(1-(0.45*Emission_Cals!P$20))</f>
        <v>0</v>
      </c>
      <c r="AD27" s="259">
        <f>((0.4506*(Emission_Cals!P$17/100))-0.0505)*2000*(1-(0.45*Emission_Cals!P$20))</f>
        <v>-101</v>
      </c>
      <c r="AE27" s="260">
        <f>0.185*(Emission_Cals!Q$17/100)*2000*(1-(0.45*Emission_Cals!Q$20))</f>
        <v>0</v>
      </c>
      <c r="AF27" s="259">
        <f>((0.4506*(Emission_Cals!Q$17/100))-0.0505)*2000*(1-(0.45*Emission_Cals!Q$20))</f>
        <v>-101</v>
      </c>
      <c r="AG27" s="260">
        <f>0.185*(Emission_Cals!R$17/100)*2000*(1-(0.45*Emission_Cals!R$20))</f>
        <v>0</v>
      </c>
      <c r="AH27" s="259">
        <f>((0.4506*(Emission_Cals!R$17/100))-0.0505)*2000*(1-(0.45*Emission_Cals!R$20))</f>
        <v>-101</v>
      </c>
    </row>
    <row r="28" spans="1:34" x14ac:dyDescent="0.2">
      <c r="A28" s="264" t="str">
        <f>'Data-Collection'!B109</f>
        <v>Y - Other Gelcoat - specify</v>
      </c>
      <c r="B28" s="268" t="s">
        <v>154</v>
      </c>
      <c r="C28" s="262"/>
      <c r="D28" s="263"/>
      <c r="E28" s="262"/>
      <c r="F28" s="263"/>
      <c r="G28" s="262"/>
      <c r="H28" s="263"/>
      <c r="I28" s="262"/>
      <c r="J28" s="263"/>
      <c r="K28" s="262"/>
      <c r="L28" s="263"/>
      <c r="M28" s="262"/>
      <c r="N28" s="263"/>
      <c r="O28" s="262"/>
      <c r="P28" s="263"/>
      <c r="Q28" s="262"/>
      <c r="R28" s="263"/>
      <c r="S28" s="262"/>
      <c r="T28" s="263"/>
      <c r="U28" s="262"/>
      <c r="V28" s="263"/>
      <c r="W28" s="262"/>
      <c r="X28" s="263"/>
      <c r="Y28" s="262"/>
      <c r="Z28" s="263"/>
      <c r="AA28" s="264"/>
      <c r="AB28" s="265"/>
      <c r="AC28" s="264"/>
      <c r="AD28" s="265"/>
      <c r="AE28" s="264"/>
      <c r="AF28" s="265"/>
      <c r="AG28" s="264"/>
      <c r="AH28" s="265"/>
    </row>
    <row r="29" spans="1:34" x14ac:dyDescent="0.2">
      <c r="A29" s="264" t="str">
        <f>'Data-Collection'!B110</f>
        <v>Z - Use of solvents, thinners , reducers, etc.</v>
      </c>
      <c r="B29" s="268" t="s">
        <v>106</v>
      </c>
      <c r="C29" s="262"/>
      <c r="D29" s="263"/>
      <c r="E29" s="262"/>
      <c r="F29" s="263"/>
      <c r="G29" s="262"/>
      <c r="H29" s="263"/>
      <c r="I29" s="262"/>
      <c r="J29" s="263"/>
      <c r="K29" s="262"/>
      <c r="L29" s="263"/>
      <c r="M29" s="262"/>
      <c r="N29" s="263"/>
      <c r="O29" s="262"/>
      <c r="P29" s="263"/>
      <c r="Q29" s="262"/>
      <c r="R29" s="263"/>
      <c r="S29" s="262"/>
      <c r="T29" s="263"/>
      <c r="U29" s="262"/>
      <c r="V29" s="263"/>
      <c r="W29" s="262"/>
      <c r="X29" s="263"/>
      <c r="Y29" s="262"/>
      <c r="Z29" s="263"/>
      <c r="AA29" s="262"/>
      <c r="AB29" s="263"/>
      <c r="AC29" s="262"/>
      <c r="AD29" s="263"/>
      <c r="AE29" s="262"/>
      <c r="AF29" s="263"/>
      <c r="AG29" s="262"/>
      <c r="AH29" s="263"/>
    </row>
    <row r="30" spans="1:34" x14ac:dyDescent="0.2">
      <c r="A30" s="264"/>
      <c r="B30" s="265"/>
      <c r="C30" s="262"/>
      <c r="D30" s="263"/>
      <c r="E30" s="262"/>
      <c r="F30" s="263"/>
      <c r="G30" s="262"/>
      <c r="H30" s="263"/>
      <c r="I30" s="262"/>
      <c r="J30" s="263"/>
      <c r="K30" s="262"/>
      <c r="L30" s="263"/>
      <c r="M30" s="262"/>
      <c r="N30" s="263"/>
      <c r="O30" s="262"/>
      <c r="P30" s="263"/>
      <c r="Q30" s="262"/>
      <c r="R30" s="263"/>
      <c r="S30" s="264"/>
      <c r="T30" s="265"/>
      <c r="U30" s="109"/>
      <c r="V30" s="267"/>
      <c r="W30" s="266"/>
      <c r="X30" s="267"/>
      <c r="Y30" s="266"/>
      <c r="Z30" s="267"/>
      <c r="AA30" s="264"/>
      <c r="AB30" s="265"/>
      <c r="AC30" s="264"/>
      <c r="AD30" s="265"/>
      <c r="AE30" s="264"/>
      <c r="AF30" s="265"/>
      <c r="AG30" s="264"/>
      <c r="AH30" s="265"/>
    </row>
    <row r="31" spans="1:34" x14ac:dyDescent="0.2">
      <c r="A31" s="269"/>
      <c r="B31" s="59"/>
      <c r="C31" s="433" t="s">
        <v>43</v>
      </c>
      <c r="D31" s="434"/>
      <c r="E31" s="433" t="s">
        <v>47</v>
      </c>
      <c r="F31" s="434"/>
      <c r="G31" s="433" t="s">
        <v>48</v>
      </c>
      <c r="H31" s="434"/>
      <c r="I31" s="433" t="s">
        <v>49</v>
      </c>
      <c r="J31" s="434"/>
      <c r="K31" s="433" t="s">
        <v>50</v>
      </c>
      <c r="L31" s="434"/>
      <c r="M31" s="433" t="s">
        <v>51</v>
      </c>
      <c r="N31" s="434"/>
      <c r="O31" s="433" t="s">
        <v>52</v>
      </c>
      <c r="P31" s="434"/>
      <c r="Q31" s="433" t="s">
        <v>53</v>
      </c>
      <c r="R31" s="434"/>
      <c r="S31" s="433" t="s">
        <v>54</v>
      </c>
      <c r="T31" s="434"/>
      <c r="U31" s="435" t="s">
        <v>55</v>
      </c>
      <c r="V31" s="436"/>
      <c r="W31" s="437" t="s">
        <v>56</v>
      </c>
      <c r="X31" s="438"/>
      <c r="Y31" s="437" t="s">
        <v>57</v>
      </c>
      <c r="Z31" s="438"/>
      <c r="AA31" s="433" t="s">
        <v>58</v>
      </c>
      <c r="AB31" s="434"/>
      <c r="AC31" s="433" t="s">
        <v>59</v>
      </c>
      <c r="AD31" s="434"/>
      <c r="AE31" s="433" t="s">
        <v>60</v>
      </c>
      <c r="AF31" s="434"/>
      <c r="AG31" s="433" t="s">
        <v>61</v>
      </c>
      <c r="AH31" s="434"/>
    </row>
    <row r="32" spans="1:34" x14ac:dyDescent="0.2">
      <c r="U32" s="15"/>
      <c r="V32" s="29"/>
      <c r="W32" s="29"/>
      <c r="X32" s="29"/>
      <c r="Y32" s="29"/>
      <c r="Z32" s="29"/>
    </row>
    <row r="33" spans="21:26" x14ac:dyDescent="0.2">
      <c r="U33" s="15"/>
      <c r="V33" s="29"/>
      <c r="W33" s="29"/>
      <c r="X33" s="29"/>
      <c r="Y33" s="29"/>
      <c r="Z33" s="29"/>
    </row>
    <row r="34" spans="21:26" x14ac:dyDescent="0.2">
      <c r="U34" s="15"/>
      <c r="V34" s="29"/>
      <c r="W34" s="29"/>
      <c r="X34" s="29"/>
      <c r="Y34" s="29"/>
      <c r="Z34" s="29"/>
    </row>
    <row r="35" spans="21:26" x14ac:dyDescent="0.2">
      <c r="U35" s="15"/>
      <c r="V35" s="29"/>
      <c r="W35" s="29"/>
      <c r="X35" s="29"/>
      <c r="Y35" s="29"/>
      <c r="Z35" s="29"/>
    </row>
    <row r="36" spans="21:26" x14ac:dyDescent="0.2">
      <c r="U36" s="15"/>
      <c r="V36" s="29"/>
      <c r="W36" s="29"/>
      <c r="X36" s="29"/>
      <c r="Y36" s="29"/>
      <c r="Z36" s="29"/>
    </row>
    <row r="37" spans="21:26" x14ac:dyDescent="0.2">
      <c r="U37" s="15"/>
      <c r="V37" s="29"/>
      <c r="W37" s="29"/>
      <c r="X37" s="29"/>
      <c r="Y37" s="29"/>
      <c r="Z37" s="29"/>
    </row>
    <row r="38" spans="21:26" x14ac:dyDescent="0.2">
      <c r="V38" s="29"/>
      <c r="W38" s="29"/>
      <c r="X38" s="29"/>
      <c r="Y38" s="29"/>
      <c r="Z38" s="29"/>
    </row>
    <row r="39" spans="21:26" x14ac:dyDescent="0.2">
      <c r="V39" s="29"/>
      <c r="W39" s="29"/>
      <c r="X39" s="29"/>
      <c r="Y39" s="29"/>
      <c r="Z39" s="29"/>
    </row>
    <row r="40" spans="21:26" x14ac:dyDescent="0.2">
      <c r="V40" s="29"/>
      <c r="W40" s="29"/>
      <c r="X40" s="29"/>
      <c r="Y40" s="29"/>
      <c r="Z40" s="29"/>
    </row>
    <row r="41" spans="21:26" x14ac:dyDescent="0.2">
      <c r="V41" s="29"/>
      <c r="W41" s="29"/>
      <c r="X41" s="29"/>
      <c r="Y41" s="29"/>
      <c r="Z41" s="29"/>
    </row>
    <row r="42" spans="21:26" x14ac:dyDescent="0.2">
      <c r="V42" s="29"/>
      <c r="W42" s="29"/>
      <c r="X42" s="29"/>
      <c r="Y42" s="29"/>
      <c r="Z42" s="29"/>
    </row>
    <row r="43" spans="21:26" x14ac:dyDescent="0.2">
      <c r="V43" s="29"/>
      <c r="W43" s="29"/>
      <c r="X43" s="29"/>
      <c r="Y43" s="29"/>
      <c r="Z43" s="29"/>
    </row>
    <row r="44" spans="21:26" x14ac:dyDescent="0.2">
      <c r="V44" s="29"/>
      <c r="W44" s="29"/>
      <c r="X44" s="29"/>
      <c r="Y44" s="29"/>
      <c r="Z44" s="29"/>
    </row>
    <row r="45" spans="21:26" x14ac:dyDescent="0.2">
      <c r="V45" s="29"/>
      <c r="W45" s="29"/>
      <c r="X45" s="29"/>
      <c r="Y45" s="29"/>
      <c r="Z45" s="29"/>
    </row>
  </sheetData>
  <sheetProtection selectLockedCells="1"/>
  <mergeCells count="34">
    <mergeCell ref="AA31:AB31"/>
    <mergeCell ref="AC31:AD31"/>
    <mergeCell ref="AE31:AF31"/>
    <mergeCell ref="AG31:AH31"/>
    <mergeCell ref="O31:P31"/>
    <mergeCell ref="Q31:R31"/>
    <mergeCell ref="S31:T31"/>
    <mergeCell ref="U31:V31"/>
    <mergeCell ref="W31:X31"/>
    <mergeCell ref="Y31:Z31"/>
    <mergeCell ref="C31:D31"/>
    <mergeCell ref="E31:F31"/>
    <mergeCell ref="G31:H31"/>
    <mergeCell ref="I31:J31"/>
    <mergeCell ref="K31:L31"/>
    <mergeCell ref="M31:N31"/>
    <mergeCell ref="AE2:AF2"/>
    <mergeCell ref="AG2:AH2"/>
    <mergeCell ref="A1:AH1"/>
    <mergeCell ref="A2:B3"/>
    <mergeCell ref="Q2:R2"/>
    <mergeCell ref="I2:J2"/>
    <mergeCell ref="K2:L2"/>
    <mergeCell ref="M2:N2"/>
    <mergeCell ref="O2:P2"/>
    <mergeCell ref="Y2:Z2"/>
    <mergeCell ref="AA2:AB2"/>
    <mergeCell ref="AC2:AD2"/>
    <mergeCell ref="C2:D2"/>
    <mergeCell ref="S2:T2"/>
    <mergeCell ref="U2:V2"/>
    <mergeCell ref="W2:X2"/>
    <mergeCell ref="E2:F2"/>
    <mergeCell ref="G2:H2"/>
  </mergeCells>
  <phoneticPr fontId="0" type="noConversion"/>
  <dataValidations count="1">
    <dataValidation type="list" allowBlank="1" showInputMessage="1" showErrorMessage="1" sqref="B31">
      <formula1>$C73:$C96</formula1>
    </dataValidation>
  </dataValidations>
  <pageMargins left="0.25" right="0.25" top="1" bottom="1" header="0.5" footer="0.5"/>
  <pageSetup paperSize="313" scale="53" orientation="landscape" verticalDpi="0" r:id="rId1"/>
  <headerFooter alignWithMargins="0">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71"/>
  <sheetViews>
    <sheetView tabSelected="1" topLeftCell="A40" workbookViewId="0">
      <selection activeCell="B71" sqref="B71"/>
    </sheetView>
  </sheetViews>
  <sheetFormatPr defaultRowHeight="12.75" x14ac:dyDescent="0.2"/>
  <cols>
    <col min="1" max="1" width="17.5703125" customWidth="1"/>
    <col min="3" max="3" width="2.140625" customWidth="1"/>
    <col min="4" max="4" width="10.140625" bestFit="1" customWidth="1"/>
    <col min="5" max="5" width="16.7109375" bestFit="1" customWidth="1"/>
    <col min="6" max="6" width="11.5703125" bestFit="1" customWidth="1"/>
    <col min="7" max="7" width="10.28515625" bestFit="1" customWidth="1"/>
  </cols>
  <sheetData>
    <row r="1" spans="1:6" ht="25.5" x14ac:dyDescent="0.35">
      <c r="A1" s="439" t="s">
        <v>82</v>
      </c>
      <c r="B1" s="440"/>
      <c r="C1" s="440"/>
      <c r="D1" s="440"/>
      <c r="E1" s="440"/>
      <c r="F1" s="441"/>
    </row>
    <row r="2" spans="1:6" x14ac:dyDescent="0.2">
      <c r="A2" s="41"/>
      <c r="B2" s="10"/>
      <c r="C2" s="10"/>
      <c r="D2" s="87"/>
      <c r="E2" s="10"/>
      <c r="F2" s="42"/>
    </row>
    <row r="3" spans="1:6" x14ac:dyDescent="0.2">
      <c r="A3" s="442" t="s">
        <v>83</v>
      </c>
      <c r="B3" s="443"/>
      <c r="C3" s="20" t="s">
        <v>84</v>
      </c>
      <c r="D3" s="397" t="s">
        <v>85</v>
      </c>
      <c r="E3" s="397"/>
      <c r="F3" s="44" t="s">
        <v>86</v>
      </c>
    </row>
    <row r="4" spans="1:6" x14ac:dyDescent="0.2">
      <c r="A4" s="43" t="s">
        <v>87</v>
      </c>
      <c r="B4" s="20" t="s">
        <v>88</v>
      </c>
      <c r="C4" s="10"/>
      <c r="D4" s="89" t="s">
        <v>88</v>
      </c>
      <c r="E4" s="20" t="s">
        <v>87</v>
      </c>
      <c r="F4" s="42" t="s">
        <v>89</v>
      </c>
    </row>
    <row r="5" spans="1:6" x14ac:dyDescent="0.2">
      <c r="A5" s="41" t="s">
        <v>90</v>
      </c>
      <c r="B5" s="45"/>
      <c r="C5" s="20" t="s">
        <v>84</v>
      </c>
      <c r="D5" s="160">
        <f>B5*F5</f>
        <v>0</v>
      </c>
      <c r="E5" s="10" t="s">
        <v>91</v>
      </c>
      <c r="F5" s="46">
        <v>8.3454043000000002</v>
      </c>
    </row>
    <row r="6" spans="1:6" x14ac:dyDescent="0.2">
      <c r="A6" s="41"/>
      <c r="B6" s="10"/>
      <c r="C6" s="10"/>
      <c r="D6" s="87"/>
      <c r="E6" s="10"/>
      <c r="F6" s="46"/>
    </row>
    <row r="7" spans="1:6" x14ac:dyDescent="0.2">
      <c r="A7" s="41" t="s">
        <v>90</v>
      </c>
      <c r="B7" s="45"/>
      <c r="C7" s="20" t="s">
        <v>84</v>
      </c>
      <c r="D7" s="160">
        <f>B7*F7</f>
        <v>0</v>
      </c>
      <c r="E7" s="10" t="s">
        <v>92</v>
      </c>
      <c r="F7" s="46">
        <v>1</v>
      </c>
    </row>
    <row r="8" spans="1:6" x14ac:dyDescent="0.2">
      <c r="A8" s="41"/>
      <c r="B8" s="10"/>
      <c r="C8" s="10"/>
      <c r="D8" s="87"/>
      <c r="E8" s="10"/>
      <c r="F8" s="46"/>
    </row>
    <row r="9" spans="1:6" x14ac:dyDescent="0.2">
      <c r="A9" s="41" t="s">
        <v>92</v>
      </c>
      <c r="B9" s="45"/>
      <c r="C9" s="20" t="s">
        <v>84</v>
      </c>
      <c r="D9" s="160">
        <f>B9*F9</f>
        <v>0</v>
      </c>
      <c r="E9" s="10" t="s">
        <v>91</v>
      </c>
      <c r="F9" s="46">
        <f>8.34595</f>
        <v>8.3459500000000002</v>
      </c>
    </row>
    <row r="10" spans="1:6" x14ac:dyDescent="0.2">
      <c r="A10" s="41"/>
      <c r="B10" s="10"/>
      <c r="C10" s="10"/>
      <c r="D10" s="87"/>
      <c r="E10" s="10"/>
      <c r="F10" s="46"/>
    </row>
    <row r="11" spans="1:6" x14ac:dyDescent="0.2">
      <c r="A11" s="41" t="s">
        <v>93</v>
      </c>
      <c r="B11" s="45"/>
      <c r="C11" s="20" t="s">
        <v>84</v>
      </c>
      <c r="D11" s="160">
        <f>B11*F11</f>
        <v>0</v>
      </c>
      <c r="E11" s="10" t="s">
        <v>91</v>
      </c>
      <c r="F11" s="47">
        <v>8.3459499999999995E-3</v>
      </c>
    </row>
    <row r="12" spans="1:6" x14ac:dyDescent="0.2">
      <c r="A12" s="41"/>
      <c r="B12" s="10"/>
      <c r="C12" s="10"/>
      <c r="D12" s="87"/>
      <c r="E12" s="10"/>
      <c r="F12" s="46"/>
    </row>
    <row r="13" spans="1:6" x14ac:dyDescent="0.2">
      <c r="A13" s="41" t="s">
        <v>91</v>
      </c>
      <c r="B13" s="45"/>
      <c r="C13" s="20" t="s">
        <v>84</v>
      </c>
      <c r="D13" s="160">
        <f>B13*F13</f>
        <v>0</v>
      </c>
      <c r="E13" s="10" t="s">
        <v>93</v>
      </c>
      <c r="F13" s="46">
        <v>119.82</v>
      </c>
    </row>
    <row r="14" spans="1:6" x14ac:dyDescent="0.2">
      <c r="A14" s="41"/>
      <c r="B14" s="10"/>
      <c r="C14" s="48"/>
      <c r="D14" s="87"/>
      <c r="E14" s="10"/>
      <c r="F14" s="46"/>
    </row>
    <row r="15" spans="1:6" x14ac:dyDescent="0.2">
      <c r="A15" s="41" t="s">
        <v>94</v>
      </c>
      <c r="B15" s="45"/>
      <c r="C15" s="20" t="s">
        <v>84</v>
      </c>
      <c r="D15" s="160">
        <f>B15*F15</f>
        <v>0</v>
      </c>
      <c r="E15" s="10" t="s">
        <v>21</v>
      </c>
      <c r="F15" s="46">
        <v>0.26419999999999999</v>
      </c>
    </row>
    <row r="16" spans="1:6" x14ac:dyDescent="0.2">
      <c r="A16" s="41"/>
      <c r="B16" s="10"/>
      <c r="C16" s="48"/>
      <c r="D16" s="87"/>
      <c r="E16" s="10"/>
      <c r="F16" s="46"/>
    </row>
    <row r="17" spans="1:6" x14ac:dyDescent="0.2">
      <c r="A17" s="41" t="s">
        <v>95</v>
      </c>
      <c r="B17" s="45"/>
      <c r="C17" s="20" t="s">
        <v>84</v>
      </c>
      <c r="D17" s="160">
        <f>B17*F17</f>
        <v>0</v>
      </c>
      <c r="E17" s="10" t="s">
        <v>22</v>
      </c>
      <c r="F17" s="161">
        <v>2.2049999999999999E-3</v>
      </c>
    </row>
    <row r="18" spans="1:6" x14ac:dyDescent="0.2">
      <c r="A18" s="49"/>
      <c r="B18" s="10"/>
      <c r="C18" s="48"/>
      <c r="D18" s="87"/>
      <c r="E18" s="10"/>
      <c r="F18" s="46"/>
    </row>
    <row r="19" spans="1:6" x14ac:dyDescent="0.2">
      <c r="A19" s="41" t="s">
        <v>95</v>
      </c>
      <c r="B19" s="45"/>
      <c r="C19" s="20" t="s">
        <v>84</v>
      </c>
      <c r="D19" s="160">
        <f>B19*F19</f>
        <v>0</v>
      </c>
      <c r="E19" s="10" t="s">
        <v>322</v>
      </c>
      <c r="F19" s="46">
        <v>1E-3</v>
      </c>
    </row>
    <row r="20" spans="1:6" x14ac:dyDescent="0.2">
      <c r="A20" s="49"/>
      <c r="B20" s="10"/>
      <c r="C20" s="48"/>
      <c r="D20" s="87"/>
      <c r="E20" s="10"/>
      <c r="F20" s="46"/>
    </row>
    <row r="21" spans="1:6" x14ac:dyDescent="0.2">
      <c r="A21" s="41" t="s">
        <v>322</v>
      </c>
      <c r="B21" s="45"/>
      <c r="C21" s="20" t="s">
        <v>84</v>
      </c>
      <c r="D21" s="160">
        <f>B21*F21</f>
        <v>0</v>
      </c>
      <c r="E21" s="10" t="s">
        <v>95</v>
      </c>
      <c r="F21" s="46">
        <v>1000</v>
      </c>
    </row>
    <row r="22" spans="1:6" x14ac:dyDescent="0.2">
      <c r="A22" s="49"/>
      <c r="B22" s="10"/>
      <c r="C22" s="48"/>
      <c r="D22" s="87"/>
      <c r="E22" s="10"/>
      <c r="F22" s="46"/>
    </row>
    <row r="23" spans="1:6" x14ac:dyDescent="0.2">
      <c r="A23" s="41" t="s">
        <v>322</v>
      </c>
      <c r="B23" s="45"/>
      <c r="C23" s="20" t="s">
        <v>84</v>
      </c>
      <c r="D23" s="160">
        <f>B23*F23</f>
        <v>0</v>
      </c>
      <c r="E23" s="10" t="s">
        <v>22</v>
      </c>
      <c r="F23" s="46">
        <v>2.2050000000000001</v>
      </c>
    </row>
    <row r="24" spans="1:6" x14ac:dyDescent="0.2">
      <c r="A24" s="49"/>
      <c r="B24" s="10"/>
      <c r="C24" s="48"/>
      <c r="D24" s="87"/>
      <c r="E24" s="10"/>
      <c r="F24" s="46"/>
    </row>
    <row r="25" spans="1:6" x14ac:dyDescent="0.2">
      <c r="A25" s="41" t="s">
        <v>22</v>
      </c>
      <c r="B25" s="45"/>
      <c r="C25" s="20" t="s">
        <v>84</v>
      </c>
      <c r="D25" s="160">
        <f>B25*F25</f>
        <v>0</v>
      </c>
      <c r="E25" s="10" t="s">
        <v>95</v>
      </c>
      <c r="F25" s="46">
        <v>453.59</v>
      </c>
    </row>
    <row r="26" spans="1:6" x14ac:dyDescent="0.2">
      <c r="A26" s="41"/>
      <c r="B26" s="10"/>
      <c r="C26" s="48"/>
      <c r="D26" s="87"/>
      <c r="E26" s="50"/>
      <c r="F26" s="46"/>
    </row>
    <row r="27" spans="1:6" x14ac:dyDescent="0.2">
      <c r="A27" s="41" t="s">
        <v>323</v>
      </c>
      <c r="B27" s="45"/>
      <c r="C27" s="20" t="s">
        <v>84</v>
      </c>
      <c r="D27" s="160">
        <f>B27*F27</f>
        <v>0</v>
      </c>
      <c r="E27" s="10" t="s">
        <v>322</v>
      </c>
      <c r="F27" s="46">
        <v>1000</v>
      </c>
    </row>
    <row r="28" spans="1:6" x14ac:dyDescent="0.2">
      <c r="A28" s="41"/>
      <c r="B28" s="10"/>
      <c r="C28" s="48"/>
      <c r="D28" s="87"/>
      <c r="E28" s="50"/>
      <c r="F28" s="46"/>
    </row>
    <row r="29" spans="1:6" x14ac:dyDescent="0.2">
      <c r="A29" s="41" t="s">
        <v>323</v>
      </c>
      <c r="B29" s="45"/>
      <c r="C29" s="20" t="s">
        <v>84</v>
      </c>
      <c r="D29" s="160">
        <f>B29*F29</f>
        <v>0</v>
      </c>
      <c r="E29" s="10" t="s">
        <v>95</v>
      </c>
      <c r="F29" s="46">
        <v>1000000</v>
      </c>
    </row>
    <row r="30" spans="1:6" x14ac:dyDescent="0.2">
      <c r="A30" s="41"/>
      <c r="B30" s="10"/>
      <c r="C30" s="48"/>
      <c r="D30" s="87"/>
      <c r="E30" s="50"/>
      <c r="F30" s="46"/>
    </row>
    <row r="31" spans="1:6" x14ac:dyDescent="0.2">
      <c r="A31" s="41" t="s">
        <v>323</v>
      </c>
      <c r="B31" s="45"/>
      <c r="C31" s="20" t="s">
        <v>84</v>
      </c>
      <c r="D31" s="160">
        <f>B31*F31</f>
        <v>0</v>
      </c>
      <c r="E31" s="10" t="s">
        <v>23</v>
      </c>
      <c r="F31" s="46">
        <v>1.102311</v>
      </c>
    </row>
    <row r="32" spans="1:6" x14ac:dyDescent="0.2">
      <c r="A32" s="41"/>
      <c r="B32" s="10"/>
      <c r="C32" s="48"/>
      <c r="D32" s="87"/>
      <c r="E32" s="50"/>
      <c r="F32" s="46"/>
    </row>
    <row r="33" spans="1:6" x14ac:dyDescent="0.2">
      <c r="A33" s="41" t="s">
        <v>22</v>
      </c>
      <c r="B33" s="45"/>
      <c r="C33" s="20" t="s">
        <v>84</v>
      </c>
      <c r="D33" s="160">
        <f>B33*F33</f>
        <v>0</v>
      </c>
      <c r="E33" s="10" t="s">
        <v>322</v>
      </c>
      <c r="F33" s="162">
        <v>0.45358999999999999</v>
      </c>
    </row>
    <row r="34" spans="1:6" x14ac:dyDescent="0.2">
      <c r="A34" s="41"/>
      <c r="B34" s="10"/>
      <c r="C34" s="48"/>
      <c r="D34" s="87"/>
      <c r="E34" s="50"/>
      <c r="F34" s="46"/>
    </row>
    <row r="35" spans="1:6" x14ac:dyDescent="0.2">
      <c r="A35" s="41" t="s">
        <v>23</v>
      </c>
      <c r="B35" s="45"/>
      <c r="C35" s="20" t="s">
        <v>84</v>
      </c>
      <c r="D35" s="160">
        <f>B35*F35</f>
        <v>0</v>
      </c>
      <c r="E35" s="10" t="s">
        <v>322</v>
      </c>
      <c r="F35" s="51">
        <v>907.18499999999995</v>
      </c>
    </row>
    <row r="36" spans="1:6" x14ac:dyDescent="0.2">
      <c r="A36" s="41"/>
      <c r="B36" s="10"/>
      <c r="C36" s="48"/>
      <c r="D36" s="87"/>
      <c r="E36" s="50"/>
      <c r="F36" s="46"/>
    </row>
    <row r="37" spans="1:6" x14ac:dyDescent="0.2">
      <c r="A37" s="41" t="s">
        <v>23</v>
      </c>
      <c r="B37" s="45"/>
      <c r="C37" s="20" t="s">
        <v>84</v>
      </c>
      <c r="D37" s="160">
        <f>B37*F37</f>
        <v>0</v>
      </c>
      <c r="E37" s="10" t="s">
        <v>323</v>
      </c>
      <c r="F37" s="51">
        <v>0.90718500000000002</v>
      </c>
    </row>
    <row r="38" spans="1:6" x14ac:dyDescent="0.2">
      <c r="A38" s="41"/>
      <c r="B38" s="10"/>
      <c r="C38" s="48"/>
      <c r="D38" s="87"/>
      <c r="E38" s="50"/>
      <c r="F38" s="46"/>
    </row>
    <row r="39" spans="1:6" x14ac:dyDescent="0.2">
      <c r="A39" s="41" t="s">
        <v>23</v>
      </c>
      <c r="B39" s="45"/>
      <c r="C39" s="20" t="s">
        <v>84</v>
      </c>
      <c r="D39" s="160">
        <f>B39*F39</f>
        <v>0</v>
      </c>
      <c r="E39" s="10" t="s">
        <v>22</v>
      </c>
      <c r="F39" s="51">
        <v>2000</v>
      </c>
    </row>
    <row r="40" spans="1:6" x14ac:dyDescent="0.2">
      <c r="A40" s="49"/>
      <c r="B40" s="10"/>
      <c r="C40" s="48"/>
      <c r="D40" s="87"/>
      <c r="E40" s="10"/>
      <c r="F40" s="46"/>
    </row>
    <row r="41" spans="1:6" x14ac:dyDescent="0.2">
      <c r="A41" s="41" t="s">
        <v>22</v>
      </c>
      <c r="B41" s="45"/>
      <c r="C41" s="20" t="s">
        <v>84</v>
      </c>
      <c r="D41" s="160">
        <f>B41*F41</f>
        <v>0</v>
      </c>
      <c r="E41" s="10" t="s">
        <v>23</v>
      </c>
      <c r="F41" s="47">
        <v>5.0000000000000001E-4</v>
      </c>
    </row>
    <row r="42" spans="1:6" x14ac:dyDescent="0.2">
      <c r="A42" s="41"/>
      <c r="B42" s="10"/>
      <c r="C42" s="10"/>
      <c r="D42" s="87"/>
      <c r="E42" s="10"/>
      <c r="F42" s="42"/>
    </row>
    <row r="43" spans="1:6" x14ac:dyDescent="0.2">
      <c r="A43" s="41" t="s">
        <v>96</v>
      </c>
      <c r="B43" s="65"/>
      <c r="C43" s="10" t="s">
        <v>84</v>
      </c>
      <c r="D43" s="160">
        <f>B43*F43</f>
        <v>0</v>
      </c>
      <c r="E43" s="10" t="s">
        <v>21</v>
      </c>
      <c r="F43" s="42">
        <v>7.8125E-3</v>
      </c>
    </row>
    <row r="44" spans="1:6" x14ac:dyDescent="0.2">
      <c r="A44" s="41"/>
      <c r="B44" s="10"/>
      <c r="C44" s="10"/>
      <c r="D44" s="87"/>
      <c r="E44" s="10"/>
      <c r="F44" s="42"/>
    </row>
    <row r="45" spans="1:6" x14ac:dyDescent="0.2">
      <c r="A45" s="41" t="s">
        <v>97</v>
      </c>
      <c r="B45" s="45"/>
      <c r="C45" s="20" t="s">
        <v>84</v>
      </c>
      <c r="D45" s="160">
        <f>B45*F45</f>
        <v>0</v>
      </c>
      <c r="E45" s="10" t="s">
        <v>22</v>
      </c>
      <c r="F45" s="42">
        <v>6.25E-2</v>
      </c>
    </row>
    <row r="46" spans="1:6" x14ac:dyDescent="0.2">
      <c r="A46" s="41"/>
      <c r="B46" s="10"/>
      <c r="C46" s="10"/>
      <c r="D46" s="87"/>
      <c r="E46" s="10"/>
      <c r="F46" s="42"/>
    </row>
    <row r="47" spans="1:6" x14ac:dyDescent="0.2">
      <c r="A47" s="41" t="s">
        <v>97</v>
      </c>
      <c r="B47" s="45"/>
      <c r="C47" s="20" t="s">
        <v>84</v>
      </c>
      <c r="D47" s="160">
        <f>B47*F47</f>
        <v>0</v>
      </c>
      <c r="E47" s="10" t="s">
        <v>22</v>
      </c>
      <c r="F47" s="42">
        <v>6.25E-2</v>
      </c>
    </row>
    <row r="48" spans="1:6" x14ac:dyDescent="0.2">
      <c r="A48" s="41"/>
      <c r="B48" s="10"/>
      <c r="C48" s="10"/>
      <c r="D48" s="87"/>
      <c r="E48" s="10"/>
      <c r="F48" s="42"/>
    </row>
    <row r="49" spans="1:6" x14ac:dyDescent="0.2">
      <c r="A49" s="41" t="s">
        <v>336</v>
      </c>
      <c r="B49" s="45"/>
      <c r="C49" s="20" t="s">
        <v>84</v>
      </c>
      <c r="D49" s="160">
        <f>B49*F49</f>
        <v>0</v>
      </c>
      <c r="E49" s="10" t="s">
        <v>334</v>
      </c>
      <c r="F49" s="42">
        <v>2.2370000000000001</v>
      </c>
    </row>
    <row r="50" spans="1:6" x14ac:dyDescent="0.2">
      <c r="A50" s="41"/>
      <c r="B50" s="10"/>
      <c r="C50" s="10"/>
      <c r="D50" s="87"/>
      <c r="E50" s="10"/>
      <c r="F50" s="42"/>
    </row>
    <row r="51" spans="1:6" x14ac:dyDescent="0.2">
      <c r="A51" s="41" t="s">
        <v>333</v>
      </c>
      <c r="B51" s="45"/>
      <c r="C51" s="20" t="s">
        <v>84</v>
      </c>
      <c r="D51" s="175">
        <f>B51*F51</f>
        <v>0</v>
      </c>
      <c r="E51" s="10" t="s">
        <v>334</v>
      </c>
      <c r="F51" s="42">
        <v>3.7199999999999999E-4</v>
      </c>
    </row>
    <row r="52" spans="1:6" x14ac:dyDescent="0.2">
      <c r="A52" s="41"/>
      <c r="B52" s="10"/>
      <c r="C52" s="10"/>
      <c r="D52" s="87"/>
      <c r="E52" s="10"/>
      <c r="F52" s="42"/>
    </row>
    <row r="53" spans="1:6" x14ac:dyDescent="0.2">
      <c r="A53" s="41" t="s">
        <v>418</v>
      </c>
      <c r="B53" s="45"/>
      <c r="C53" s="20" t="s">
        <v>84</v>
      </c>
      <c r="D53" s="160">
        <f>B53*F53</f>
        <v>0</v>
      </c>
      <c r="E53" s="10" t="s">
        <v>335</v>
      </c>
      <c r="F53" s="42">
        <v>1.296</v>
      </c>
    </row>
    <row r="54" spans="1:6" x14ac:dyDescent="0.2">
      <c r="A54" s="41"/>
      <c r="B54" s="10"/>
      <c r="C54" s="10"/>
      <c r="D54" s="87"/>
      <c r="E54" s="10"/>
      <c r="F54" s="42"/>
    </row>
    <row r="55" spans="1:6" x14ac:dyDescent="0.2">
      <c r="A55" s="41" t="s">
        <v>22</v>
      </c>
      <c r="B55" s="45"/>
      <c r="C55" s="20" t="s">
        <v>84</v>
      </c>
      <c r="D55" s="160">
        <f>B55*F55</f>
        <v>0</v>
      </c>
      <c r="E55" s="10" t="s">
        <v>418</v>
      </c>
      <c r="F55" s="42">
        <v>350</v>
      </c>
    </row>
    <row r="56" spans="1:6" x14ac:dyDescent="0.2">
      <c r="A56" s="41"/>
      <c r="B56" s="10"/>
      <c r="C56" s="10"/>
      <c r="D56" s="87"/>
      <c r="E56" s="10"/>
      <c r="F56" s="42"/>
    </row>
    <row r="57" spans="1:6" x14ac:dyDescent="0.2">
      <c r="A57" s="41" t="s">
        <v>418</v>
      </c>
      <c r="B57" s="45"/>
      <c r="C57" s="20" t="s">
        <v>84</v>
      </c>
      <c r="D57" s="160">
        <f>B57*F57</f>
        <v>0</v>
      </c>
      <c r="E57" s="10" t="s">
        <v>22</v>
      </c>
      <c r="F57" s="42">
        <v>2.8570000000000002E-3</v>
      </c>
    </row>
    <row r="58" spans="1:6" ht="13.5" thickBot="1" x14ac:dyDescent="0.25">
      <c r="A58" s="52"/>
      <c r="B58" s="53"/>
      <c r="C58" s="53"/>
      <c r="D58" s="53"/>
      <c r="E58" s="53"/>
      <c r="F58" s="54"/>
    </row>
    <row r="62" spans="1:6" x14ac:dyDescent="0.2">
      <c r="A62" s="55"/>
      <c r="B62" s="55"/>
      <c r="C62" s="56"/>
      <c r="D62" s="56"/>
    </row>
    <row r="63" spans="1:6" x14ac:dyDescent="0.2">
      <c r="A63" s="57"/>
      <c r="B63" s="55"/>
      <c r="C63" s="56"/>
      <c r="D63" s="56"/>
    </row>
    <row r="64" spans="1:6" x14ac:dyDescent="0.2">
      <c r="A64" s="55"/>
      <c r="B64" s="55"/>
      <c r="C64" s="56"/>
      <c r="D64" s="56"/>
    </row>
    <row r="65" spans="1:4" x14ac:dyDescent="0.2">
      <c r="A65" s="55"/>
      <c r="B65" s="55"/>
      <c r="C65" s="56"/>
      <c r="D65" s="56"/>
    </row>
    <row r="66" spans="1:4" x14ac:dyDescent="0.2">
      <c r="A66" s="55"/>
      <c r="B66" s="55"/>
      <c r="C66" s="56"/>
      <c r="D66" s="56"/>
    </row>
    <row r="67" spans="1:4" x14ac:dyDescent="0.2">
      <c r="A67" s="55"/>
      <c r="B67" s="55"/>
      <c r="C67" s="56"/>
      <c r="D67" s="56"/>
    </row>
    <row r="68" spans="1:4" ht="15" x14ac:dyDescent="0.2">
      <c r="A68" s="58" t="s">
        <v>450</v>
      </c>
      <c r="B68" s="55"/>
      <c r="C68" s="56"/>
      <c r="D68" s="56"/>
    </row>
    <row r="69" spans="1:4" ht="15" x14ac:dyDescent="0.2">
      <c r="A69" s="55"/>
      <c r="B69" s="58" t="s">
        <v>451</v>
      </c>
      <c r="C69" s="56"/>
      <c r="D69" s="56"/>
    </row>
    <row r="70" spans="1:4" ht="15" x14ac:dyDescent="0.2">
      <c r="A70" s="55"/>
      <c r="B70" s="58" t="s">
        <v>452</v>
      </c>
      <c r="C70" s="56"/>
      <c r="D70" s="56"/>
    </row>
    <row r="71" spans="1:4" x14ac:dyDescent="0.2">
      <c r="B71" s="55"/>
      <c r="C71" s="56"/>
      <c r="D71" s="56"/>
    </row>
  </sheetData>
  <mergeCells count="3">
    <mergeCell ref="A1:F1"/>
    <mergeCell ref="A3:B3"/>
    <mergeCell ref="D3:E3"/>
  </mergeCells>
  <phoneticPr fontId="0" type="noConversion"/>
  <printOptions verticalCentered="1"/>
  <pageMargins left="0.75" right="0.75" top="0.5" bottom="0.5" header="0.5" footer="0.5"/>
  <pageSetup scale="81" orientation="portrait" verticalDpi="0"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Data-Collection</vt:lpstr>
      <vt:lpstr>Emission_Cals</vt:lpstr>
      <vt:lpstr>MACT_Limit</vt:lpstr>
      <vt:lpstr>VOC_Comp</vt:lpstr>
      <vt:lpstr>Ems_Fac</vt:lpstr>
      <vt:lpstr>Conversion_Factors</vt:lpstr>
      <vt:lpstr>Instructions!Print_Titles</vt:lpstr>
    </vt:vector>
  </TitlesOfParts>
  <Company>CFA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Schweitzer</dc:creator>
  <cp:lastModifiedBy>Barbara Lods</cp:lastModifiedBy>
  <cp:lastPrinted>2008-06-18T22:29:19Z</cp:lastPrinted>
  <dcterms:created xsi:type="dcterms:W3CDTF">1999-01-15T15:11:27Z</dcterms:created>
  <dcterms:modified xsi:type="dcterms:W3CDTF">2023-02-06T21:42:44Z</dcterms:modified>
</cp:coreProperties>
</file>