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taylorm\Downloads\"/>
    </mc:Choice>
  </mc:AlternateContent>
  <xr:revisionPtr revIDLastSave="0" documentId="8_{3A25840C-ED16-4CB4-9A86-7FA8CE109F7D}" xr6:coauthVersionLast="47" xr6:coauthVersionMax="47" xr10:uidLastSave="{00000000-0000-0000-0000-000000000000}"/>
  <workbookProtection workbookAlgorithmName="SHA-512" workbookHashValue="bfaVMbZNUxaRUAEyVjgHx6s83nYVUUfpA3SgzlQlaalVtW9qa5FE9t0p6vQlT6gEVkQjpk6ehEWoWjDGunbk0g==" workbookSaltValue="jUGr+HZ3cxB0SvXJLwvGbA==" workbookSpinCount="100000" lockStructure="1"/>
  <bookViews>
    <workbookView xWindow="38290" yWindow="30" windowWidth="38620" windowHeight="21100" tabRatio="693" activeTab="1" xr2:uid="{00000000-000D-0000-FFFF-FFFF00000000}"/>
  </bookViews>
  <sheets>
    <sheet name="Boilers &amp; Heaters" sheetId="8" r:id="rId1"/>
    <sheet name="Engines &amp; Turbines" sheetId="1" r:id="rId2"/>
    <sheet name="Flares &amp; Crematories" sheetId="9" r:id="rId3"/>
    <sheet name="O&amp;G Fugitives" sheetId="5" r:id="rId4"/>
    <sheet name="Misc. Fugitive Dust" sheetId="10" r:id="rId5"/>
    <sheet name="Mineral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2" i="7" l="1"/>
  <c r="Z35" i="7"/>
  <c r="Z16" i="7"/>
  <c r="Z9" i="10"/>
  <c r="Z7" i="10"/>
  <c r="Z8" i="10"/>
  <c r="Z12" i="10"/>
  <c r="Z11" i="10"/>
  <c r="Z10" i="10"/>
  <c r="U28" i="9"/>
  <c r="O8" i="9"/>
  <c r="O9" i="9"/>
  <c r="O10" i="9"/>
  <c r="O11" i="9"/>
  <c r="O7" i="9"/>
  <c r="O18" i="9"/>
  <c r="O19" i="9"/>
  <c r="O20" i="9"/>
  <c r="O21" i="9"/>
  <c r="O17" i="9"/>
  <c r="O39" i="8"/>
  <c r="O40" i="8"/>
  <c r="O38" i="8"/>
  <c r="O28" i="8"/>
  <c r="O27" i="8"/>
  <c r="O26" i="8"/>
  <c r="O24" i="8"/>
  <c r="O23" i="8"/>
  <c r="O22" i="8"/>
  <c r="O19" i="8"/>
  <c r="O20" i="8"/>
  <c r="O18" i="8"/>
  <c r="P18" i="7"/>
  <c r="P17" i="7"/>
  <c r="CY28" i="7" l="1"/>
  <c r="CU28" i="7"/>
  <c r="CT28" i="7"/>
  <c r="CS28" i="7"/>
  <c r="CK28" i="7"/>
  <c r="CJ28" i="7"/>
  <c r="CB28" i="7"/>
  <c r="BL28" i="7"/>
  <c r="BK28" i="7"/>
  <c r="BA28" i="7"/>
  <c r="AY28" i="7"/>
  <c r="AR28" i="7"/>
  <c r="AQ28" i="7"/>
  <c r="AP28" i="7"/>
  <c r="AO28" i="7"/>
  <c r="AN28" i="7"/>
  <c r="AL28" i="7"/>
  <c r="AK28" i="7"/>
  <c r="AE28" i="7"/>
  <c r="AD28" i="7"/>
  <c r="CY30" i="7"/>
  <c r="CT30" i="7"/>
  <c r="CS30" i="7"/>
  <c r="CK30" i="7"/>
  <c r="CJ30" i="7"/>
  <c r="BL30" i="7"/>
  <c r="BK30" i="7"/>
  <c r="AY30" i="7"/>
  <c r="AP30" i="7"/>
  <c r="AL30" i="7"/>
  <c r="AK30" i="7"/>
  <c r="AE30" i="7"/>
  <c r="AD30" i="7"/>
  <c r="DN13" i="1"/>
  <c r="DN12" i="1"/>
  <c r="DN11" i="1"/>
  <c r="DN10" i="1"/>
  <c r="DE13" i="1"/>
  <c r="DE12" i="1"/>
  <c r="DE11" i="1"/>
  <c r="DE10" i="1"/>
  <c r="CX13" i="1"/>
  <c r="CX12" i="1"/>
  <c r="CX11" i="1"/>
  <c r="CX10" i="1"/>
  <c r="CN13" i="1"/>
  <c r="CN12" i="1"/>
  <c r="CN11" i="1"/>
  <c r="CN10" i="1"/>
  <c r="CK13" i="1"/>
  <c r="CK12" i="1"/>
  <c r="CK11" i="1"/>
  <c r="CK10" i="1"/>
  <c r="BM13" i="1"/>
  <c r="BM12" i="1"/>
  <c r="BM11" i="1"/>
  <c r="BM10" i="1"/>
  <c r="BG13" i="1"/>
  <c r="BG12" i="1"/>
  <c r="BG11" i="1"/>
  <c r="BG10" i="1"/>
  <c r="AS13" i="1"/>
  <c r="AS12" i="1"/>
  <c r="AS11" i="1"/>
  <c r="AS10" i="1"/>
  <c r="AM13" i="1"/>
  <c r="AM12" i="1"/>
  <c r="AM11" i="1"/>
  <c r="AM10" i="1"/>
  <c r="AH11" i="1"/>
  <c r="AH12" i="1"/>
  <c r="AH13" i="1"/>
  <c r="AH10" i="1"/>
  <c r="AF13" i="1"/>
  <c r="AF12" i="1"/>
  <c r="AF11" i="1"/>
  <c r="AF10" i="1"/>
  <c r="AC12" i="10" l="1"/>
  <c r="Y12" i="10"/>
  <c r="W12" i="10"/>
  <c r="T12" i="10"/>
  <c r="S12" i="10"/>
  <c r="R12" i="10"/>
  <c r="P12" i="10"/>
  <c r="O12" i="10" s="1"/>
  <c r="N12" i="10"/>
  <c r="M12" i="10"/>
  <c r="L12" i="10"/>
  <c r="K12" i="10"/>
  <c r="I12" i="10"/>
  <c r="AC11" i="10"/>
  <c r="Y11" i="10"/>
  <c r="W11" i="10"/>
  <c r="T11" i="10"/>
  <c r="S11" i="10"/>
  <c r="R11" i="10"/>
  <c r="P11" i="10"/>
  <c r="O11" i="10" s="1"/>
  <c r="N11" i="10"/>
  <c r="M11" i="10"/>
  <c r="L11" i="10"/>
  <c r="K11" i="10"/>
  <c r="I11" i="10"/>
  <c r="AC10" i="10"/>
  <c r="Y10" i="10"/>
  <c r="W10" i="10"/>
  <c r="T10" i="10"/>
  <c r="S10" i="10"/>
  <c r="R10" i="10"/>
  <c r="P10" i="10"/>
  <c r="O10" i="10" s="1"/>
  <c r="N10" i="10"/>
  <c r="M10" i="10"/>
  <c r="L10" i="10"/>
  <c r="K10" i="10"/>
  <c r="I10" i="10"/>
  <c r="CN32" i="1" l="1"/>
  <c r="CN25" i="1" s="1"/>
  <c r="CL26" i="1" l="1"/>
  <c r="CM26" i="1"/>
  <c r="K14" i="9"/>
  <c r="L14" i="9"/>
  <c r="CN26" i="1" l="1"/>
  <c r="CN33" i="1" l="1"/>
  <c r="DN14" i="9"/>
  <c r="DE14" i="9"/>
  <c r="CW14" i="9"/>
  <c r="CN14" i="9"/>
  <c r="CK14" i="9"/>
  <c r="BX14" i="9"/>
  <c r="BM14" i="9"/>
  <c r="BG14" i="9"/>
  <c r="AM14" i="9"/>
  <c r="AH14" i="9"/>
  <c r="AF14" i="9"/>
  <c r="AC14" i="9"/>
  <c r="AB14" i="9"/>
  <c r="Y14" i="9"/>
  <c r="W14" i="9"/>
  <c r="V14" i="9"/>
  <c r="U14" i="9"/>
  <c r="T14" i="9"/>
  <c r="S14" i="9"/>
  <c r="R14" i="9"/>
  <c r="Q14" i="9"/>
  <c r="P14" i="9"/>
  <c r="N14" i="9"/>
  <c r="M14" i="9"/>
  <c r="CW14" i="8" l="1"/>
  <c r="AC14" i="8"/>
  <c r="AB14" i="8"/>
  <c r="Y14" i="8"/>
  <c r="W14" i="8"/>
  <c r="V14" i="8"/>
  <c r="U14" i="8"/>
  <c r="T14" i="8"/>
  <c r="S14" i="8"/>
  <c r="R14" i="8"/>
  <c r="Q14" i="8"/>
  <c r="P14" i="8"/>
  <c r="N14" i="8"/>
  <c r="M14" i="8"/>
  <c r="L14" i="8"/>
  <c r="K14" i="8"/>
  <c r="CW13" i="8"/>
  <c r="AC13" i="8"/>
  <c r="AB13" i="8"/>
  <c r="Y13" i="8"/>
  <c r="W13" i="8"/>
  <c r="V13" i="8"/>
  <c r="U13" i="8"/>
  <c r="T13" i="8"/>
  <c r="S13" i="8"/>
  <c r="R13" i="8"/>
  <c r="Q13" i="8"/>
  <c r="P13" i="8"/>
  <c r="N13" i="8"/>
  <c r="M13" i="8"/>
  <c r="L13" i="8"/>
  <c r="K13" i="8"/>
  <c r="CW12" i="8"/>
  <c r="AC12" i="8"/>
  <c r="AB12" i="8"/>
  <c r="Y12" i="8"/>
  <c r="W12" i="8"/>
  <c r="V12" i="8"/>
  <c r="U12" i="8"/>
  <c r="T12" i="8"/>
  <c r="S12" i="8"/>
  <c r="R12" i="8"/>
  <c r="Q12" i="8"/>
  <c r="P12" i="8"/>
  <c r="N12" i="8"/>
  <c r="M12" i="8"/>
  <c r="L12" i="8"/>
  <c r="K12" i="8"/>
  <c r="CW10" i="8"/>
  <c r="AC10" i="8"/>
  <c r="AB10" i="8"/>
  <c r="Y10" i="8"/>
  <c r="W10" i="8"/>
  <c r="V10" i="8"/>
  <c r="U10" i="8"/>
  <c r="T10" i="8"/>
  <c r="S10" i="8"/>
  <c r="R10" i="8"/>
  <c r="Q10" i="8"/>
  <c r="P10" i="8"/>
  <c r="N10" i="8"/>
  <c r="M10" i="8"/>
  <c r="L10" i="8"/>
  <c r="K10" i="8"/>
  <c r="CW9" i="8"/>
  <c r="AC9" i="8"/>
  <c r="AB9" i="8"/>
  <c r="Y9" i="8"/>
  <c r="W9" i="8"/>
  <c r="V9" i="8"/>
  <c r="U9" i="8"/>
  <c r="T9" i="8"/>
  <c r="S9" i="8"/>
  <c r="R9" i="8"/>
  <c r="Q9" i="8"/>
  <c r="P9" i="8"/>
  <c r="N9" i="8"/>
  <c r="M9" i="8"/>
  <c r="L9" i="8"/>
  <c r="K9" i="8"/>
  <c r="CW8" i="8"/>
  <c r="AC8" i="8"/>
  <c r="AB8" i="8"/>
  <c r="Y8" i="8"/>
  <c r="W8" i="8"/>
  <c r="V8" i="8"/>
  <c r="U8" i="8"/>
  <c r="T8" i="8"/>
  <c r="S8" i="8"/>
  <c r="R8" i="8"/>
  <c r="Q8" i="8"/>
  <c r="P8" i="8"/>
  <c r="N8" i="8"/>
  <c r="M8" i="8"/>
  <c r="L8" i="8"/>
  <c r="K8" i="8"/>
  <c r="BW26" i="7" l="1"/>
  <c r="K21" i="7" l="1"/>
  <c r="DM16" i="1" l="1"/>
  <c r="DL16" i="1"/>
  <c r="DF16" i="1"/>
  <c r="AW16" i="1"/>
  <c r="AX16" i="1"/>
  <c r="AU16" i="1"/>
  <c r="AF16" i="1"/>
  <c r="BE16" i="1"/>
  <c r="AS16" i="1"/>
  <c r="DP31" i="7" l="1"/>
  <c r="DO31" i="7"/>
  <c r="DI31" i="7"/>
  <c r="DE31" i="7"/>
  <c r="DA31" i="7"/>
  <c r="CI31" i="7"/>
  <c r="CG31" i="7"/>
  <c r="CE31" i="7"/>
  <c r="CD31" i="7"/>
  <c r="BX31" i="7"/>
  <c r="BH31" i="7"/>
  <c r="BG31" i="7"/>
  <c r="AT31" i="7"/>
  <c r="AM31" i="7"/>
  <c r="DP29" i="7"/>
  <c r="DO29" i="7"/>
  <c r="DI29" i="7"/>
  <c r="DE29" i="7"/>
  <c r="DA29" i="7"/>
  <c r="CR29" i="7"/>
  <c r="CG29" i="7"/>
  <c r="CE29" i="7"/>
  <c r="CD29" i="7"/>
  <c r="BX29" i="7"/>
  <c r="BM29" i="7"/>
  <c r="BH29" i="7"/>
  <c r="BG29" i="7"/>
  <c r="AZ29" i="7"/>
  <c r="AT29" i="7"/>
  <c r="AM29" i="7"/>
  <c r="AC42" i="7" l="1"/>
  <c r="Y42" i="7"/>
  <c r="W42" i="7"/>
  <c r="T42" i="7"/>
  <c r="S42" i="7"/>
  <c r="R42" i="7"/>
  <c r="P42" i="7"/>
  <c r="O42" i="7" s="1"/>
  <c r="N42" i="7"/>
  <c r="M42" i="7"/>
  <c r="L42" i="7"/>
  <c r="K42" i="7"/>
  <c r="I42" i="7"/>
  <c r="AZ28" i="7" l="1"/>
  <c r="CE30" i="7"/>
  <c r="CE28" i="7"/>
  <c r="BH30" i="7"/>
  <c r="BH28" i="7"/>
  <c r="AT30" i="7"/>
  <c r="AT28" i="7"/>
  <c r="CD30" i="7"/>
  <c r="CD28" i="7"/>
  <c r="DP30" i="7" l="1"/>
  <c r="DP28" i="7"/>
  <c r="DO30" i="7"/>
  <c r="DO28" i="7"/>
  <c r="DE30" i="7"/>
  <c r="DE28" i="7"/>
  <c r="CR28" i="7"/>
  <c r="DA30" i="7"/>
  <c r="DA28" i="7"/>
  <c r="CI30" i="7"/>
  <c r="DI30" i="7"/>
  <c r="DI28" i="7"/>
  <c r="BX30" i="7"/>
  <c r="BX28" i="7"/>
  <c r="BM30" i="7"/>
  <c r="BM28" i="7"/>
  <c r="BG30" i="7"/>
  <c r="BG28" i="7"/>
  <c r="CG30" i="7"/>
  <c r="CG28" i="7"/>
  <c r="AM30" i="7"/>
  <c r="AM28" i="7"/>
  <c r="AC35" i="7" l="1"/>
  <c r="Y35" i="7"/>
  <c r="W35" i="7"/>
  <c r="T35" i="7"/>
  <c r="S35" i="7"/>
  <c r="R35" i="7"/>
  <c r="P35" i="7"/>
  <c r="O35" i="7" s="1"/>
  <c r="N35" i="7"/>
  <c r="M35" i="7"/>
  <c r="L35" i="7"/>
  <c r="K35" i="7"/>
  <c r="I35" i="7"/>
  <c r="AC16" i="7"/>
  <c r="Y16" i="7"/>
  <c r="W16" i="7"/>
  <c r="T16" i="7"/>
  <c r="S16" i="7"/>
  <c r="R16" i="7"/>
  <c r="P16" i="7"/>
  <c r="O16" i="7" s="1"/>
  <c r="N16" i="7"/>
  <c r="M16" i="7"/>
  <c r="L16" i="7"/>
  <c r="K16" i="7"/>
  <c r="I16" i="7"/>
  <c r="AC32" i="7"/>
  <c r="Z32" i="7"/>
  <c r="Y32" i="7"/>
  <c r="W32" i="7"/>
  <c r="T32" i="7"/>
  <c r="S32" i="7"/>
  <c r="R32" i="7"/>
  <c r="Q32" i="7"/>
  <c r="P32" i="7"/>
  <c r="O32" i="7" s="1"/>
  <c r="N32" i="7"/>
  <c r="M32" i="7"/>
  <c r="L32" i="7"/>
  <c r="K32" i="7"/>
  <c r="I32" i="7"/>
  <c r="AC34" i="7"/>
  <c r="Z34" i="7"/>
  <c r="Y34" i="7"/>
  <c r="W34" i="7"/>
  <c r="T34" i="7"/>
  <c r="S34" i="7"/>
  <c r="R34" i="7"/>
  <c r="Q34" i="7"/>
  <c r="P34" i="7"/>
  <c r="O34" i="7" s="1"/>
  <c r="N34" i="7"/>
  <c r="M34" i="7"/>
  <c r="L34" i="7"/>
  <c r="K34" i="7"/>
  <c r="I34" i="7"/>
  <c r="AC33" i="7"/>
  <c r="Z33" i="7"/>
  <c r="Y33" i="7"/>
  <c r="W33" i="7"/>
  <c r="T33" i="7"/>
  <c r="S33" i="7"/>
  <c r="R33" i="7"/>
  <c r="Q33" i="7"/>
  <c r="P33" i="7"/>
  <c r="O33" i="7" s="1"/>
  <c r="N33" i="7"/>
  <c r="M33" i="7"/>
  <c r="L33" i="7"/>
  <c r="K33" i="7"/>
  <c r="I33" i="7"/>
  <c r="DK25" i="7"/>
  <c r="Z15" i="7"/>
  <c r="Z8" i="7"/>
  <c r="Z41" i="7" l="1"/>
  <c r="Z40" i="7"/>
  <c r="Z39" i="7"/>
  <c r="Z38" i="7"/>
  <c r="AC41" i="7" l="1"/>
  <c r="Y41" i="7"/>
  <c r="W41" i="7"/>
  <c r="T41" i="7"/>
  <c r="S41" i="7"/>
  <c r="R41" i="7"/>
  <c r="P41" i="7"/>
  <c r="O41" i="7" s="1"/>
  <c r="N41" i="7"/>
  <c r="M41" i="7"/>
  <c r="K41" i="7"/>
  <c r="CY51" i="1" l="1"/>
  <c r="I40" i="7"/>
  <c r="K40" i="7"/>
  <c r="L40" i="7"/>
  <c r="M40" i="7"/>
  <c r="N40" i="7"/>
  <c r="P40" i="7"/>
  <c r="O40" i="7" s="1"/>
  <c r="Q40" i="7"/>
  <c r="R40" i="7"/>
  <c r="S40" i="7"/>
  <c r="T40" i="7"/>
  <c r="W40" i="7"/>
  <c r="Y40" i="7"/>
  <c r="AC40" i="7"/>
  <c r="I39" i="7"/>
  <c r="K39" i="7"/>
  <c r="L39" i="7"/>
  <c r="M39" i="7"/>
  <c r="N39" i="7"/>
  <c r="P39" i="7"/>
  <c r="O39" i="7" s="1"/>
  <c r="Q39" i="7"/>
  <c r="R39" i="7"/>
  <c r="S39" i="7"/>
  <c r="T39" i="7"/>
  <c r="W39" i="7"/>
  <c r="Y39" i="7"/>
  <c r="AC39" i="7"/>
  <c r="AC38" i="7"/>
  <c r="Y38" i="7"/>
  <c r="W38" i="7"/>
  <c r="T38" i="7"/>
  <c r="S38" i="7"/>
  <c r="R38" i="7"/>
  <c r="Q38" i="7"/>
  <c r="P38" i="7"/>
  <c r="O38" i="7" s="1"/>
  <c r="N38" i="7"/>
  <c r="M38" i="7"/>
  <c r="L38" i="7"/>
  <c r="K38" i="7"/>
  <c r="I38" i="7"/>
  <c r="BT26" i="7" l="1"/>
  <c r="AC27" i="7"/>
  <c r="AC25" i="7"/>
  <c r="AC24" i="7"/>
  <c r="Y27" i="7"/>
  <c r="Y25" i="7"/>
  <c r="Y24" i="7"/>
  <c r="X27" i="7"/>
  <c r="X25" i="7"/>
  <c r="X24" i="7"/>
  <c r="W27" i="7"/>
  <c r="W25" i="7"/>
  <c r="W24" i="7"/>
  <c r="U27" i="7"/>
  <c r="U25" i="7"/>
  <c r="U24" i="7"/>
  <c r="T27" i="7"/>
  <c r="T25" i="7"/>
  <c r="T24" i="7"/>
  <c r="S27" i="7"/>
  <c r="S25" i="7"/>
  <c r="S24" i="7"/>
  <c r="R27" i="7"/>
  <c r="R25" i="7"/>
  <c r="R24" i="7"/>
  <c r="Q27" i="7"/>
  <c r="Q25" i="7"/>
  <c r="Q24" i="7"/>
  <c r="P27" i="7"/>
  <c r="P25" i="7"/>
  <c r="P24" i="7"/>
  <c r="O27" i="7"/>
  <c r="O25" i="7"/>
  <c r="O24" i="7"/>
  <c r="N27" i="7"/>
  <c r="N25" i="7"/>
  <c r="N24" i="7"/>
  <c r="L27" i="7"/>
  <c r="L25" i="7"/>
  <c r="L24" i="7"/>
  <c r="K27" i="7"/>
  <c r="K25" i="7"/>
  <c r="K24" i="7"/>
  <c r="J27" i="7"/>
  <c r="J25" i="7"/>
  <c r="J24" i="7"/>
  <c r="AC23" i="7"/>
  <c r="Y23" i="7"/>
  <c r="X23" i="7"/>
  <c r="W23" i="7"/>
  <c r="U23" i="7"/>
  <c r="T23" i="7"/>
  <c r="S23" i="7"/>
  <c r="R23" i="7"/>
  <c r="Q23" i="7"/>
  <c r="P23" i="7"/>
  <c r="O23" i="7"/>
  <c r="N23" i="7"/>
  <c r="L23" i="7"/>
  <c r="K23" i="7"/>
  <c r="J23" i="7"/>
  <c r="Y26" i="7"/>
  <c r="Q26" i="7"/>
  <c r="P26" i="7"/>
  <c r="O26" i="7" s="1"/>
  <c r="N26" i="7"/>
  <c r="K26" i="7"/>
  <c r="CY27" i="7"/>
  <c r="CT27" i="7"/>
  <c r="CS27" i="7"/>
  <c r="CB27" i="7"/>
  <c r="BL27" i="7"/>
  <c r="BK27" i="7"/>
  <c r="AY27" i="7"/>
  <c r="AR27" i="7"/>
  <c r="AQ27" i="7"/>
  <c r="AP27" i="7"/>
  <c r="AO27" i="7"/>
  <c r="AN27" i="7"/>
  <c r="AL27" i="7"/>
  <c r="AK27" i="7"/>
  <c r="AE27" i="7"/>
  <c r="AD27" i="7"/>
  <c r="CF27" i="7"/>
  <c r="CG27" i="7"/>
  <c r="DI27" i="7"/>
  <c r="AH27" i="7"/>
  <c r="BX33" i="1"/>
  <c r="BX26" i="1"/>
  <c r="BO26" i="7"/>
  <c r="CL26" i="7"/>
  <c r="BN26" i="7"/>
  <c r="CL25" i="7"/>
  <c r="BN25" i="7"/>
  <c r="BS25" i="7"/>
  <c r="BR25" i="7"/>
  <c r="BQ25" i="7"/>
  <c r="CO25" i="7"/>
  <c r="DB25" i="7"/>
  <c r="CY24" i="7"/>
  <c r="CT24" i="7"/>
  <c r="CS24" i="7"/>
  <c r="CB24" i="7"/>
  <c r="BL24" i="7"/>
  <c r="BK24" i="7"/>
  <c r="AY24" i="7"/>
  <c r="AR24" i="7"/>
  <c r="AQ24" i="7"/>
  <c r="AP24" i="7"/>
  <c r="AO24" i="7"/>
  <c r="AN24" i="7"/>
  <c r="AL24" i="7"/>
  <c r="AK24" i="7"/>
  <c r="AE24" i="7"/>
  <c r="AD24" i="7"/>
  <c r="CF24" i="7"/>
  <c r="DI24" i="7"/>
  <c r="CY23" i="7"/>
  <c r="CT23" i="7"/>
  <c r="CS23" i="7"/>
  <c r="CK23" i="7"/>
  <c r="CB23" i="7"/>
  <c r="BL23" i="7"/>
  <c r="BK23" i="7"/>
  <c r="AY23" i="7"/>
  <c r="AR23" i="7"/>
  <c r="AQ23" i="7"/>
  <c r="AN23" i="7"/>
  <c r="AP23" i="7"/>
  <c r="AO23" i="7"/>
  <c r="AL23" i="7"/>
  <c r="AK23" i="7"/>
  <c r="AE23" i="7"/>
  <c r="AD23" i="7"/>
  <c r="CJ23" i="7"/>
  <c r="CF23" i="7"/>
  <c r="DI23" i="7"/>
  <c r="CY22" i="7"/>
  <c r="CT22" i="7"/>
  <c r="CK22" i="7"/>
  <c r="CB22" i="7"/>
  <c r="BL22" i="7"/>
  <c r="BK22" i="7"/>
  <c r="BA22" i="7"/>
  <c r="AY22" i="7"/>
  <c r="AR22" i="7"/>
  <c r="AQ22" i="7"/>
  <c r="AO22" i="7"/>
  <c r="AN22" i="7"/>
  <c r="AL22" i="7"/>
  <c r="AK22" i="7"/>
  <c r="AE22" i="7"/>
  <c r="AD22" i="7"/>
  <c r="CJ22" i="7"/>
  <c r="S22" i="7"/>
  <c r="K22" i="7"/>
  <c r="L22" i="7"/>
  <c r="M22" i="7"/>
  <c r="N22" i="7"/>
  <c r="O22" i="7"/>
  <c r="P22" i="7"/>
  <c r="R22" i="7"/>
  <c r="T22" i="7"/>
  <c r="U22" i="7"/>
  <c r="W22" i="7"/>
  <c r="Y22" i="7"/>
  <c r="AC22" i="7"/>
  <c r="AC21" i="7"/>
  <c r="Y21" i="7"/>
  <c r="W21" i="7"/>
  <c r="U21" i="7"/>
  <c r="T21" i="7"/>
  <c r="S21" i="7"/>
  <c r="R21" i="7"/>
  <c r="P21" i="7"/>
  <c r="O21" i="7"/>
  <c r="N21" i="7"/>
  <c r="M21" i="7"/>
  <c r="L21" i="7"/>
  <c r="CY21" i="7"/>
  <c r="CT21" i="7"/>
  <c r="CK21" i="7"/>
  <c r="CB21" i="7"/>
  <c r="BL21" i="7"/>
  <c r="BK21" i="7"/>
  <c r="BA21" i="7"/>
  <c r="AY21" i="7"/>
  <c r="AR21" i="7"/>
  <c r="AQ21" i="7"/>
  <c r="AO21" i="7"/>
  <c r="AN21" i="7"/>
  <c r="AL21" i="7"/>
  <c r="AK21" i="7"/>
  <c r="AE21" i="7"/>
  <c r="AD21" i="7"/>
  <c r="CJ21" i="7"/>
  <c r="BJ33" i="1"/>
  <c r="BJ26" i="1"/>
  <c r="BJ16" i="1"/>
  <c r="DJ26" i="7" l="1"/>
  <c r="DK26" i="7"/>
  <c r="DJ25" i="7"/>
  <c r="CR16" i="1"/>
  <c r="CI16" i="1"/>
  <c r="BM16" i="1"/>
  <c r="Y16" i="1"/>
  <c r="W16" i="1"/>
  <c r="S16" i="1"/>
  <c r="P16" i="1"/>
  <c r="N16" i="1"/>
  <c r="K16" i="1"/>
  <c r="DN52" i="1" l="1"/>
  <c r="DE52" i="1"/>
  <c r="CY52" i="1"/>
  <c r="CW52" i="1"/>
  <c r="CT52" i="1"/>
  <c r="CK52" i="1"/>
  <c r="CB52" i="1"/>
  <c r="BM52" i="1"/>
  <c r="BL52" i="1"/>
  <c r="BK52" i="1"/>
  <c r="BA52" i="1"/>
  <c r="AY52" i="1"/>
  <c r="AS52" i="1"/>
  <c r="AR52" i="1"/>
  <c r="AQ52" i="1"/>
  <c r="AO52" i="1"/>
  <c r="AN52" i="1"/>
  <c r="AM52" i="1"/>
  <c r="AL52" i="1"/>
  <c r="AK52" i="1"/>
  <c r="AH52" i="1"/>
  <c r="AF52" i="1"/>
  <c r="AE52" i="1"/>
  <c r="AD52" i="1"/>
  <c r="AQ51" i="1"/>
  <c r="BA51" i="1"/>
  <c r="CB51" i="1"/>
  <c r="AN51" i="1"/>
  <c r="AR51" i="1"/>
  <c r="AO51" i="1"/>
  <c r="AY51" i="1"/>
  <c r="DN51" i="1"/>
  <c r="DE51" i="1"/>
  <c r="CW51" i="1"/>
  <c r="CT51" i="1"/>
  <c r="CK51" i="1"/>
  <c r="BM51" i="1"/>
  <c r="BL51" i="1"/>
  <c r="BK51" i="1"/>
  <c r="AS51" i="1"/>
  <c r="AL51" i="1"/>
  <c r="AK51" i="1"/>
  <c r="AH51" i="1"/>
  <c r="AF51" i="1"/>
  <c r="AE51" i="1"/>
  <c r="AD51" i="1"/>
  <c r="AM51" i="1"/>
  <c r="AK33" i="1" l="1"/>
  <c r="DH26" i="1" l="1"/>
  <c r="CB26" i="1" l="1"/>
  <c r="AE26" i="1"/>
  <c r="AF26" i="1"/>
  <c r="AH26" i="1"/>
  <c r="AJ26" i="1"/>
  <c r="AK26" i="1"/>
  <c r="AL26" i="1"/>
  <c r="AM26" i="1"/>
  <c r="AN26" i="1"/>
  <c r="AO26" i="1"/>
  <c r="AP26" i="1"/>
  <c r="AQ26" i="1"/>
  <c r="AR26" i="1"/>
  <c r="AS26" i="1"/>
  <c r="AU26" i="1"/>
  <c r="AX26" i="1"/>
  <c r="AY26" i="1"/>
  <c r="BC26" i="1"/>
  <c r="BD26" i="1"/>
  <c r="BG26" i="1"/>
  <c r="BI26" i="1"/>
  <c r="BK26" i="1"/>
  <c r="BL26" i="1"/>
  <c r="BM26" i="1"/>
  <c r="CC26" i="1"/>
  <c r="CI26" i="1"/>
  <c r="CJ26" i="1"/>
  <c r="CK26" i="1"/>
  <c r="CS26" i="1"/>
  <c r="CT26" i="1"/>
  <c r="CY26" i="1"/>
  <c r="DA26" i="1"/>
  <c r="DD26" i="1"/>
  <c r="DE26" i="1"/>
  <c r="DG26" i="1"/>
  <c r="DL26" i="1"/>
  <c r="DN26" i="1"/>
  <c r="AD26" i="1"/>
  <c r="AD33" i="1" l="1"/>
  <c r="AE33" i="1"/>
  <c r="AF33" i="1"/>
  <c r="AH33" i="1"/>
  <c r="AL33" i="1"/>
  <c r="AM33" i="1"/>
  <c r="AN33" i="1"/>
  <c r="AO33" i="1"/>
  <c r="AP33" i="1"/>
  <c r="AQ33" i="1"/>
  <c r="AR33" i="1"/>
  <c r="AS33" i="1"/>
  <c r="AU33" i="1"/>
  <c r="AX33" i="1"/>
  <c r="AY33" i="1"/>
  <c r="BC33" i="1"/>
  <c r="BD33" i="1"/>
  <c r="BG33" i="1"/>
  <c r="BI33" i="1"/>
  <c r="BK33" i="1"/>
  <c r="BL33" i="1"/>
  <c r="BM33" i="1"/>
  <c r="CB33" i="1"/>
  <c r="CC33" i="1"/>
  <c r="CI33" i="1"/>
  <c r="CJ33" i="1"/>
  <c r="CK33" i="1"/>
  <c r="CS33" i="1"/>
  <c r="CT33" i="1"/>
  <c r="CY33" i="1"/>
  <c r="DA33" i="1"/>
  <c r="DD33" i="1"/>
  <c r="DE33" i="1"/>
  <c r="DG33" i="1"/>
  <c r="DH33" i="1"/>
  <c r="DL33" i="1"/>
  <c r="DN33" i="1"/>
</calcChain>
</file>

<file path=xl/sharedStrings.xml><?xml version="1.0" encoding="utf-8"?>
<sst xmlns="http://schemas.openxmlformats.org/spreadsheetml/2006/main" count="14454" uniqueCount="484">
  <si>
    <t>Source Type</t>
  </si>
  <si>
    <t>SCC Name</t>
  </si>
  <si>
    <t>Reference</t>
  </si>
  <si>
    <t xml:space="preserve">Arsenic </t>
  </si>
  <si>
    <t>Barium</t>
  </si>
  <si>
    <t xml:space="preserve">Beryllium </t>
  </si>
  <si>
    <t xml:space="preserve">Cadmium </t>
  </si>
  <si>
    <t>Cobalt</t>
  </si>
  <si>
    <t xml:space="preserve">Copper </t>
  </si>
  <si>
    <t>Lead</t>
  </si>
  <si>
    <t xml:space="preserve">Manganese </t>
  </si>
  <si>
    <t xml:space="preserve">Mercury </t>
  </si>
  <si>
    <t>Molybdenum</t>
  </si>
  <si>
    <t xml:space="preserve">Nickel </t>
  </si>
  <si>
    <t>Selenium</t>
  </si>
  <si>
    <t>Vanadium</t>
  </si>
  <si>
    <t>Zinc</t>
  </si>
  <si>
    <t>Acenaphthene</t>
  </si>
  <si>
    <t>Acenaphthylene</t>
  </si>
  <si>
    <t>Acetaldehyde</t>
  </si>
  <si>
    <t>Acrolein</t>
  </si>
  <si>
    <t>Ammonia</t>
  </si>
  <si>
    <t>Anthracene</t>
  </si>
  <si>
    <t>Benz(a)anthracene</t>
  </si>
  <si>
    <t>Benzene</t>
  </si>
  <si>
    <t>Benzo(a)pyrene</t>
  </si>
  <si>
    <t>Benzo(b)fluoranthene</t>
  </si>
  <si>
    <t>Benzo(e)pyrene</t>
  </si>
  <si>
    <t>Benzo(k)fluoranthene</t>
  </si>
  <si>
    <t>Carbon Tetrachloride</t>
  </si>
  <si>
    <t>Chloroform</t>
  </si>
  <si>
    <t>Chrysene</t>
  </si>
  <si>
    <t>Ethylene Dibromide</t>
  </si>
  <si>
    <t>Fluoranthene</t>
  </si>
  <si>
    <t>Fluorene</t>
  </si>
  <si>
    <t>Formaldehyde</t>
  </si>
  <si>
    <t>Indeno(1,2,3-c,d)pyrene</t>
  </si>
  <si>
    <t>Methanol</t>
  </si>
  <si>
    <t>Methylene Chloride</t>
  </si>
  <si>
    <t>Naphthalene</t>
  </si>
  <si>
    <t>n-Hexane</t>
  </si>
  <si>
    <t>Perylene</t>
  </si>
  <si>
    <t>Phenanthrene</t>
  </si>
  <si>
    <t>Pyrene</t>
  </si>
  <si>
    <t>Styrene</t>
  </si>
  <si>
    <t>Toluene</t>
  </si>
  <si>
    <t>Vinyl Chloride</t>
  </si>
  <si>
    <t xml:space="preserve">Petroleum-Refining-Flares: Process Gas </t>
  </si>
  <si>
    <t xml:space="preserve">Petroleum-Refining-Incinerators: Process Gas </t>
  </si>
  <si>
    <t xml:space="preserve">Oil &amp; Gas-Natural Gas Production: Flares </t>
  </si>
  <si>
    <t xml:space="preserve">Industrial Process-Flares: Process Gas </t>
  </si>
  <si>
    <t xml:space="preserve">Petroleum-Fugitive HC-Process Drains: Waste Water Separator </t>
  </si>
  <si>
    <t xml:space="preserve">Petroleum-Fugitive HC-Pipeline: Valves/Flanges </t>
  </si>
  <si>
    <t xml:space="preserve">Petroleum-Fugitive HC-Pump Seals: Without Controls </t>
  </si>
  <si>
    <t xml:space="preserve">Petroleum-Fugitive HC-Pump Seals: With Controls </t>
  </si>
  <si>
    <t xml:space="preserve">Petroleum-Fugitive HC-Pipeline Valves: Gas Streams </t>
  </si>
  <si>
    <t xml:space="preserve">Petroleum-Fugitive HC-Pipeline Valves: Lt Liquid/Gas Streams </t>
  </si>
  <si>
    <t xml:space="preserve">Petroleum-Fugitive HC-Pipeline Valves: Heavy Liquid Streams </t>
  </si>
  <si>
    <t xml:space="preserve">Petroleum-Fugitive HC-Flanges: All Streams </t>
  </si>
  <si>
    <t xml:space="preserve">Petroleum-Fugitive HC-Pump Seals-Lt Liquid/Gas Streams </t>
  </si>
  <si>
    <t xml:space="preserve">Petroleum-Fugitive HC-Pump Seals: Heavy Liquid Streams </t>
  </si>
  <si>
    <t xml:space="preserve">Petroleum-Fugitive HC-Compressor Seals: Gas Streams </t>
  </si>
  <si>
    <t xml:space="preserve">Petroleum-Fugitive HC-Pressure Relief Valves: All Streams </t>
  </si>
  <si>
    <t xml:space="preserve">Oil &amp; Gas-Crude Oil Production-Complete Oil Wells: Fugitives </t>
  </si>
  <si>
    <t xml:space="preserve">Oil &amp; Gas-Crude Oil Production-Wells/Rod Pumps: Fugitives </t>
  </si>
  <si>
    <t xml:space="preserve">Oil &amp; Gas-Crude Oil Production-Crude Oil Sumps: Fugitives </t>
  </si>
  <si>
    <t xml:space="preserve">Oil &amp; Gas-Crude Oil Production-Crude Oil Pits: Fugitives </t>
  </si>
  <si>
    <t xml:space="preserve">Oil &amp; Gas-Crude Oil Production-Valves: General </t>
  </si>
  <si>
    <t xml:space="preserve">Oil &amp; Gas-Crude Oil Production-Flanges &amp; Connections </t>
  </si>
  <si>
    <t xml:space="preserve">Oil &amp; Gas-Crude Oil Production-Fugitives: Compressor Seals </t>
  </si>
  <si>
    <t xml:space="preserve">Oil &amp; Gas-Natural Gas Production: Compressor Seals </t>
  </si>
  <si>
    <t xml:space="preserve">Oil &amp; Gas-Natural Gas Production: Valves (Vents) </t>
  </si>
  <si>
    <t xml:space="preserve">Oil &amp; Gas-Natural Gas Production: Flanges &amp; Connections </t>
  </si>
  <si>
    <t xml:space="preserve">Oil &amp; Gas Production-Waste Water Tanks (Was 3-10-001-07) </t>
  </si>
  <si>
    <t xml:space="preserve">PS-Fixed Roof Tanks-Crude Oil RVP5-67K BBL: Breathing Loss </t>
  </si>
  <si>
    <t xml:space="preserve">PS-Fixed Roof Tanks-Crude Oil RVP5: Working Loss </t>
  </si>
  <si>
    <t xml:space="preserve">PS-Floating Roof Tank-Crude Oil RVP 5-67K BBL: Standing Loss </t>
  </si>
  <si>
    <t xml:space="preserve">PS-Floating Roof Tank-Withdrawal Loss: Crude Oil </t>
  </si>
  <si>
    <t>--</t>
  </si>
  <si>
    <t>Oil &amp; Gas Production Fugitives-Liquid Service</t>
  </si>
  <si>
    <t>Oil &amp; Gas Production Fugitives-Gas Service</t>
  </si>
  <si>
    <t>Crude Oil Evaporation Vapor Composite from Fixed Roof Tanks</t>
  </si>
  <si>
    <t>Propylene</t>
  </si>
  <si>
    <t>Propylene Oxide</t>
  </si>
  <si>
    <t>Notes:</t>
  </si>
  <si>
    <t xml:space="preserve">Ext.Comb. Boiler-Industrial-LPG: Propane </t>
  </si>
  <si>
    <t xml:space="preserve">Ext.Comb. Boiler-Comm./Inst.-LPG: Propane </t>
  </si>
  <si>
    <t>&lt;10MMBTU/hr</t>
  </si>
  <si>
    <t>Metals</t>
  </si>
  <si>
    <t>IC-Landfill Gas Fired with an Oxidation Catalyst</t>
  </si>
  <si>
    <t>Hydrochloric Acid</t>
  </si>
  <si>
    <t>Perchloroethylene</t>
  </si>
  <si>
    <t>Methyl Chloroform</t>
  </si>
  <si>
    <t>Dibenz(a,h)anthracene</t>
  </si>
  <si>
    <t>Chlorobenzene</t>
  </si>
  <si>
    <t xml:space="preserve">Petroleum-Refining-Flares: Natural Gas </t>
  </si>
  <si>
    <t xml:space="preserve">Petroleum-Refining-Incinerators: Natural Gas </t>
  </si>
  <si>
    <t xml:space="preserve">Industrial Process-Incinerators: Natural Gas </t>
  </si>
  <si>
    <t xml:space="preserve">Industrial Process-Flares: Natural Gas </t>
  </si>
  <si>
    <t>&gt;100 MMBTU/hr</t>
  </si>
  <si>
    <t>http://www.aqmd.gov/docs/default-source/planning/annual-emission-reporting/supplemental-instructions-for-ab2588-facilities.pdf</t>
  </si>
  <si>
    <t>10-100 MMBTU/hr</t>
  </si>
  <si>
    <t>IC-Stationary and Portable: Natural Gas Combustion</t>
  </si>
  <si>
    <t>2 Stroke-Lean Burn</t>
  </si>
  <si>
    <t>4 Stroke-Lean Burn</t>
  </si>
  <si>
    <t>IC-Stationary and Portable: Gasoline</t>
  </si>
  <si>
    <t>Non-Catalyst (Portable and Stationary)</t>
  </si>
  <si>
    <t>Catalyst, Portable</t>
  </si>
  <si>
    <t>Catalyst, Stationary</t>
  </si>
  <si>
    <t>Chlorine</t>
  </si>
  <si>
    <t xml:space="preserve">SW-Commercial/Institutional-Landfill-Waste Flare </t>
  </si>
  <si>
    <t xml:space="preserve">Mineral-Concrete Batching-General </t>
  </si>
  <si>
    <t xml:space="preserve">Mineral-Concrete batching-Sand/Aggregate: Transfer to Bins </t>
  </si>
  <si>
    <t xml:space="preserve">Mineral-Concrete batching-Cement Unloading: Elevated Silos </t>
  </si>
  <si>
    <t xml:space="preserve">Mineral-Concrete batching-Weigh Hopper: Loading </t>
  </si>
  <si>
    <t xml:space="preserve">Mineral-Concrete batching-Mixer Loading </t>
  </si>
  <si>
    <t xml:space="preserve">Mineral-Concrete batching-Transit Mix Truck: Loading </t>
  </si>
  <si>
    <t xml:space="preserve">Mineral-Concrete batching-Dry Batch Truck: Loading </t>
  </si>
  <si>
    <t xml:space="preserve">Mineral-Concrete batching-Transferring: Conveyor/Elevator </t>
  </si>
  <si>
    <t xml:space="preserve">Mineral-Concrete batching-Storage: Bins/Hoppers </t>
  </si>
  <si>
    <t>Acetonitrile</t>
  </si>
  <si>
    <t>Acrylonitrile</t>
  </si>
  <si>
    <t>Trichloroethylene</t>
  </si>
  <si>
    <t>Crematory Operations</t>
  </si>
  <si>
    <t>Crematory Natural Gas Fired- Human Remains</t>
  </si>
  <si>
    <t>Aluminum</t>
  </si>
  <si>
    <t>Silica, crystalline</t>
  </si>
  <si>
    <t>Phosphorus</t>
  </si>
  <si>
    <t>Oil &amp; Gas-Crude Oil Production-Pump Seals</t>
  </si>
  <si>
    <t>Oil &amp; Gas-Crude Oil Production-Relief Valves</t>
  </si>
  <si>
    <t>Oil &amp; Gas-Natural Gas Production: Pump Seals</t>
  </si>
  <si>
    <t>Pigging - Oil</t>
  </si>
  <si>
    <t>Pigging - Gas</t>
  </si>
  <si>
    <t>Loading Rack - Crude Oil</t>
  </si>
  <si>
    <t>Reference 2</t>
  </si>
  <si>
    <t>Reference 4</t>
  </si>
  <si>
    <t xml:space="preserve">http://www.vcapcd.org/pubs/Engineering/AirToxics/combem.pdf </t>
  </si>
  <si>
    <t>Crew Boats: Main Engine Exhaust: Maneuvering</t>
  </si>
  <si>
    <t>Supply Boats: Main Engine Exhaust: Maneuvering</t>
  </si>
  <si>
    <t>IC-Stationary and Portable: LPG, Butane, or Propane</t>
  </si>
  <si>
    <t>Pits and Wastewater Tanks</t>
  </si>
  <si>
    <t>Diesel External Combustion</t>
  </si>
  <si>
    <t>Units</t>
  </si>
  <si>
    <t>References:</t>
  </si>
  <si>
    <t xml:space="preserve">Ext.Comb. Diesel Fuel </t>
  </si>
  <si>
    <t>lb/1000 gal</t>
  </si>
  <si>
    <t>lb/MMcf</t>
  </si>
  <si>
    <t>Reference 1</t>
  </si>
  <si>
    <t>Reference 3</t>
  </si>
  <si>
    <t>https://www3.epa.gov\ttn\chief\ap42\ch01\final\c01s04.pdf</t>
  </si>
  <si>
    <t>Chromium 6+</t>
  </si>
  <si>
    <t>Chromium (total)</t>
  </si>
  <si>
    <t>1,3-Butadiene</t>
  </si>
  <si>
    <t>1,2-Dichloropropane</t>
  </si>
  <si>
    <t>1,3-Dichloropropene</t>
  </si>
  <si>
    <t>Ethyl Benzene</t>
  </si>
  <si>
    <t>Methyl Ethyl Ketone</t>
  </si>
  <si>
    <t>Methyl tert-Butyl Ether</t>
  </si>
  <si>
    <t>2-Methylnaphthalene</t>
  </si>
  <si>
    <t>1150/1151</t>
  </si>
  <si>
    <t>1,1,2,2-Tetrachloroethane</t>
  </si>
  <si>
    <t>1,1,2-Trichloroethane</t>
  </si>
  <si>
    <t>1,2,4-Trimethylbenzene</t>
  </si>
  <si>
    <t>Xylenes</t>
  </si>
  <si>
    <t>m-Xylene</t>
  </si>
  <si>
    <t>o-Xylene</t>
  </si>
  <si>
    <t>Unknown Engine Type</t>
  </si>
  <si>
    <t>Boiler – Propane</t>
  </si>
  <si>
    <t>Boiler/Heater – Natural Gas</t>
  </si>
  <si>
    <t>O&amp;G Heater – Process Gas</t>
  </si>
  <si>
    <t>Turbine – LPG</t>
  </si>
  <si>
    <t>Turbine – Natural Gas</t>
  </si>
  <si>
    <t xml:space="preserve">Engine – LPG </t>
  </si>
  <si>
    <t>Engine – Natural Gas</t>
  </si>
  <si>
    <t>Engine – Gasoline</t>
  </si>
  <si>
    <t>Engine – Diesel; Stationary</t>
  </si>
  <si>
    <t>Engine – Diesel; Marine Vessel</t>
  </si>
  <si>
    <t>Max of the 3 above</t>
  </si>
  <si>
    <t>1,1-Dichloroethane</t>
  </si>
  <si>
    <t>1,4-Dioxane</t>
  </si>
  <si>
    <t>Reference 5</t>
  </si>
  <si>
    <t>Flares: Landfill Gas</t>
  </si>
  <si>
    <t xml:space="preserve">Oil &amp; Gas-Crude Oil Production: Flares </t>
  </si>
  <si>
    <t>lb/lb-TOC</t>
  </si>
  <si>
    <t xml:space="preserve">PS-Floating Roof Tank-Crude Oil RVP 5-250K BBL: Standing Loss </t>
  </si>
  <si>
    <t xml:space="preserve">Oil &amp; Gas-Crude Oil Production-Well Cellars (Was 3-10-001-06) </t>
  </si>
  <si>
    <t xml:space="preserve">Oil &amp; Gas-Crude-Wash Tanks-Flashing loss (Was 4-03-001-97) </t>
  </si>
  <si>
    <t>Flares – Process Gas</t>
  </si>
  <si>
    <t>Flares – Natural Gas</t>
  </si>
  <si>
    <t>O&amp;G Fugitives – Components</t>
  </si>
  <si>
    <t>O&amp;G Fugitives – Tanks</t>
  </si>
  <si>
    <t>O&amp;G Fugitives – Sumps, Well Cellars,</t>
  </si>
  <si>
    <t>O&amp;G Fugitives – Pigging</t>
  </si>
  <si>
    <t>O&amp;G Fugitives – Loading Rack</t>
  </si>
  <si>
    <t>lb/lb-PM</t>
  </si>
  <si>
    <t>Organic Compounds</t>
  </si>
  <si>
    <r>
      <t>References 1 &amp; 2</t>
    </r>
    <r>
      <rPr>
        <vertAlign val="superscript"/>
        <sz val="11"/>
        <rFont val="Calibri"/>
        <family val="2"/>
      </rPr>
      <t>1</t>
    </r>
  </si>
  <si>
    <t>Concrete Batch Plants</t>
  </si>
  <si>
    <t>PAHs (excl. naphthalene)</t>
  </si>
  <si>
    <t>Benzo(g,h,i)perylene</t>
  </si>
  <si>
    <t>https://www3.epa.gov/ttn/chief/ap42/ch03/final/c03s03.pdf</t>
  </si>
  <si>
    <t xml:space="preserve">Flares – Landfill Gas </t>
  </si>
  <si>
    <t>Engine – Landfill Gas</t>
  </si>
  <si>
    <t xml:space="preserve">Ext.Comb. Boiler-Industrial-Natural Gas: </t>
  </si>
  <si>
    <t xml:space="preserve">Ext.Comb. Boiler-Comm./Inst.-Natural Gas: </t>
  </si>
  <si>
    <t xml:space="preserve">Oil &amp; Gas Production-Process Heater/Steam Generator: Process Gas </t>
  </si>
  <si>
    <t>Process Heater/Steam Generators -Natural Gas:</t>
  </si>
  <si>
    <t>Flares, Non Refinery: Natural Gas or Digester Gas Combustion</t>
  </si>
  <si>
    <t>Turbine – Digester Gas</t>
  </si>
  <si>
    <t>Turbine - Digester Gas</t>
  </si>
  <si>
    <t>https://www3.epa.gov/ttn/chief/ap42/ch03/final/c03s01.pdf</t>
  </si>
  <si>
    <t>Vinylidene Chloride</t>
  </si>
  <si>
    <t>https://www.ourair.org/wp-content/uploads/CARB-VOC-Species-Profiles.pdf</t>
  </si>
  <si>
    <t>https://www.ourair.org/wp-content/uploads/Landfill-Gas-Fired-IC-Engine-Emission-Factor-Memo.pdf</t>
  </si>
  <si>
    <t>https://www.ourair.org/wp-content/uploads/Landfill-Gas-Fired-Flare-Toxic-Emission-Factors.xls</t>
  </si>
  <si>
    <t>31000299 </t>
  </si>
  <si>
    <t>Boiler/Heater – Digester Gas</t>
  </si>
  <si>
    <t>Ext.Comb. Boiler-Comm./Inst.-Process Gas: Sewage Gas</t>
  </si>
  <si>
    <t>Engine – Digester Gas</t>
  </si>
  <si>
    <t>IC-Comm./Institution-Digester Gas: Reciprocating</t>
  </si>
  <si>
    <t>p-Dichlorobenzene</t>
  </si>
  <si>
    <t>http://www.valleyair.org/busind/pto/emission_factors/Criteria/Toxics/Internal%20Combustion/DigesterGasICEngine.xls</t>
  </si>
  <si>
    <t>Ethylene Dichloride</t>
  </si>
  <si>
    <t>2,2,4-Trimethylpentane</t>
  </si>
  <si>
    <t>Hydrogen fluoride</t>
  </si>
  <si>
    <t>Hot Mix Asphalt Plants</t>
  </si>
  <si>
    <t>Batch Mix: Natural gas- or No. 2 fuel oil-fired dryer, hot screens, and mixer with fabric filter</t>
  </si>
  <si>
    <t>Batch Mix: Waste oil-, drain oil-, or No. 6 fuel oil-fired dryer, hot screens, and mixer with fabric filter</t>
  </si>
  <si>
    <t>Drum Mix: Natural gas-fired dryer with fabric filter</t>
  </si>
  <si>
    <t>Drum Mix: No. 2 fuel oil-fired dryer with fabric filter</t>
  </si>
  <si>
    <t>Drum Mix: Fuel oil- or waste oil-fired dryer with fabric filter</t>
  </si>
  <si>
    <t>Drum Mix: Fuel oil- or waste oil-fired dryer (uncontrolled)</t>
  </si>
  <si>
    <t>Drum Mix: Waste oil-fired dryer with fabric filter</t>
  </si>
  <si>
    <t>https://www3.epa.gov/ttn/chief/ap42/ch11/final/c11s01.pdf</t>
  </si>
  <si>
    <t>lb/ton produced</t>
  </si>
  <si>
    <t>Quinone</t>
  </si>
  <si>
    <t>2,3,7,8-Tetrachlorodibenzo-p-dioxin</t>
  </si>
  <si>
    <t>1,2,3,7,8-Pentachlorodibenzo-p-dioxin</t>
  </si>
  <si>
    <t>1,2,3,4,7,8-Hexachlorodibenzo-p-dioxin</t>
  </si>
  <si>
    <t>1,2,3,6,7,8-Hexachlorodibenzo-p-dioxin</t>
  </si>
  <si>
    <t>1,2,3,7,8,9-Hexachlorodibenzo-p-dioxin</t>
  </si>
  <si>
    <t>1,2,3,4,6,7,8-Heptachlorodibenzo-p-dioxin</t>
  </si>
  <si>
    <t>1,2,3,4,6,7,8,9-Octachlorodibenzo-p-dioxin</t>
  </si>
  <si>
    <t>1,2,3,4,6,7,8-Heptachlorodibenzofuran</t>
  </si>
  <si>
    <t>1,2,3,4,7,8,9-Heptachlorodibenzofuran</t>
  </si>
  <si>
    <t>1,2,3,4,7,8-Hexachlorodibenzofuran</t>
  </si>
  <si>
    <t>1,2,3,6,7,8-Hexachlorodibenzofuran</t>
  </si>
  <si>
    <t>1,2,3,7,8,9-Hexachlorodibenzofuran</t>
  </si>
  <si>
    <t>2,3,4,6,7,8-Hexachlorodibenzofuran</t>
  </si>
  <si>
    <t>1,2,3,4,6,7,8,9-Octachlorodibenzofuran</t>
  </si>
  <si>
    <t>1,2,3,7,8-Pentachlorodibenzofuran</t>
  </si>
  <si>
    <t>2,3,4,7,8-Pentachlorodibenzofuran</t>
  </si>
  <si>
    <t>2,3,7,8-Tetrachlorodibenzofuran</t>
  </si>
  <si>
    <t>Propionaldehyde</t>
  </si>
  <si>
    <t>Antimony</t>
  </si>
  <si>
    <r>
      <t xml:space="preserve">South Coast Air Quality Management District. December 2016. </t>
    </r>
    <r>
      <rPr>
        <i/>
        <sz val="10"/>
        <color theme="1"/>
        <rFont val="Calibri"/>
        <family val="2"/>
        <scheme val="minor"/>
      </rPr>
      <t>Reporting Procedures for AB2588 Facilities for Reporting their Quadrennial Air Toxics Emissions Inventory.</t>
    </r>
    <r>
      <rPr>
        <sz val="10"/>
        <color theme="1"/>
        <rFont val="Calibri"/>
        <family val="2"/>
        <scheme val="minor"/>
      </rPr>
      <t>Table B-3: Default EF for LPG, Butane, or Propane Combustion - External Combustion Equipment.</t>
    </r>
  </si>
  <si>
    <t>1 -</t>
  </si>
  <si>
    <t>The lead emission factor is from AP-42 Table 1.4-2: Emission Factors for Criteria Pollutants and Greenhouse Gases from Natural Gas Combustion.</t>
  </si>
  <si>
    <t>Pollutants that do not have OEHHA/ARB approved health risk data are highlighted in orange.</t>
  </si>
  <si>
    <r>
      <t xml:space="preserve">Ventura County Air Pollution Control District. May 2001. </t>
    </r>
    <r>
      <rPr>
        <i/>
        <sz val="10"/>
        <color theme="1"/>
        <rFont val="Calibri"/>
        <family val="2"/>
        <scheme val="minor"/>
      </rPr>
      <t>AB 2588 Combustion Emission Factors.</t>
    </r>
    <r>
      <rPr>
        <sz val="10"/>
        <color theme="1"/>
        <rFont val="Calibri"/>
        <family val="2"/>
        <scheme val="minor"/>
      </rPr>
      <t>Natural Gas Fired External Combustion Equipment Table.</t>
    </r>
  </si>
  <si>
    <r>
      <t xml:space="preserve">USEPA. July 1998. </t>
    </r>
    <r>
      <rPr>
        <i/>
        <sz val="10"/>
        <color theme="1"/>
        <rFont val="Calibri"/>
        <family val="2"/>
        <scheme val="minor"/>
      </rPr>
      <t>AP-42 Chapter 1.4.</t>
    </r>
    <r>
      <rPr>
        <sz val="10"/>
        <color theme="1"/>
        <rFont val="Calibri"/>
        <family val="2"/>
        <scheme val="minor"/>
      </rPr>
      <t>Table 1.4-4: Emission Factors for Metals from Natural Gas Combustion.</t>
    </r>
  </si>
  <si>
    <r>
      <t xml:space="preserve">South Coast Air Quality Management District. December 2016. </t>
    </r>
    <r>
      <rPr>
        <i/>
        <sz val="10"/>
        <color theme="1"/>
        <rFont val="Calibri"/>
        <family val="2"/>
        <scheme val="minor"/>
      </rPr>
      <t>Reporting Procedures for AB2588 Facilities for Reporting their Quadrennial Air Toxics Emissions Inventory.</t>
    </r>
    <r>
      <rPr>
        <sz val="10"/>
        <color theme="1"/>
        <rFont val="Calibri"/>
        <family val="2"/>
        <scheme val="minor"/>
      </rPr>
      <t>Table B-7: Default EF for Digester Gas Combustion - External Combustion Equipment.</t>
    </r>
  </si>
  <si>
    <r>
      <t xml:space="preserve">Ventura County Air Pollution Control District. May 2001. </t>
    </r>
    <r>
      <rPr>
        <i/>
        <sz val="10"/>
        <color theme="1"/>
        <rFont val="Calibri"/>
        <family val="2"/>
        <scheme val="minor"/>
      </rPr>
      <t>AB 2588 Combustion Emission Factors.</t>
    </r>
    <r>
      <rPr>
        <sz val="10"/>
        <color theme="1"/>
        <rFont val="Calibri"/>
        <family val="2"/>
        <scheme val="minor"/>
      </rPr>
      <t>Diesel Combustion Factors Table - external combustion.</t>
    </r>
  </si>
  <si>
    <t>2 -</t>
  </si>
  <si>
    <t>3 -</t>
  </si>
  <si>
    <t>4 -</t>
  </si>
  <si>
    <t>5 -</t>
  </si>
  <si>
    <t>6 -</t>
  </si>
  <si>
    <t>7 -</t>
  </si>
  <si>
    <t>8 -</t>
  </si>
  <si>
    <t>9 -</t>
  </si>
  <si>
    <t>10 -</t>
  </si>
  <si>
    <t>11 -</t>
  </si>
  <si>
    <t>12 -</t>
  </si>
  <si>
    <t>13 -</t>
  </si>
  <si>
    <r>
      <t xml:space="preserve">South Coast Air Quality Management District. December 2016. </t>
    </r>
    <r>
      <rPr>
        <i/>
        <sz val="10"/>
        <color theme="1"/>
        <rFont val="Calibri"/>
        <family val="2"/>
        <scheme val="minor"/>
      </rPr>
      <t>Reporting Procedures for AB2588 Facilities for Reporting their Quadrennial Air Toxics Emissions Inventory.</t>
    </r>
    <r>
      <rPr>
        <sz val="10"/>
        <color theme="1"/>
        <rFont val="Calibri"/>
        <family val="2"/>
        <scheme val="minor"/>
      </rPr>
      <t>Table B-3: Default EF for LPG, Butane, or Propane Combustion - Turbine.</t>
    </r>
  </si>
  <si>
    <r>
      <t xml:space="preserve">South Coast Air Quality Management District. December 2016. </t>
    </r>
    <r>
      <rPr>
        <i/>
        <sz val="10"/>
        <color theme="1"/>
        <rFont val="Calibri"/>
        <family val="2"/>
        <scheme val="minor"/>
      </rPr>
      <t>Reporting Procedures for AB2588 Facilities for Reporting their Quadrennial Air Toxics Emissions Inventory.</t>
    </r>
    <r>
      <rPr>
        <sz val="10"/>
        <color theme="1"/>
        <rFont val="Calibri"/>
        <family val="2"/>
        <scheme val="minor"/>
      </rPr>
      <t>Table B-1: Default EF for Natural Gas Combustion - Turbine.</t>
    </r>
  </si>
  <si>
    <r>
      <t xml:space="preserve">USEPA. April 2000. </t>
    </r>
    <r>
      <rPr>
        <i/>
        <sz val="10"/>
        <color theme="1"/>
        <rFont val="Calibri"/>
        <family val="2"/>
        <scheme val="minor"/>
      </rPr>
      <t>AP-42 Chapter 3.1.</t>
    </r>
    <r>
      <rPr>
        <sz val="10"/>
        <color theme="1"/>
        <rFont val="Calibri"/>
        <family val="2"/>
        <scheme val="minor"/>
      </rPr>
      <t>Table 3.1-7: Emission Factors for Hazardous Air Pollutants from Digester Gas-Fired Stationary Gas Turbines.</t>
    </r>
  </si>
  <si>
    <r>
      <t xml:space="preserve">USEPA. April 2000. </t>
    </r>
    <r>
      <rPr>
        <i/>
        <sz val="10"/>
        <color theme="1"/>
        <rFont val="Calibri"/>
        <family val="2"/>
        <scheme val="minor"/>
      </rPr>
      <t>AP-42 Chapter 3.1.</t>
    </r>
    <r>
      <rPr>
        <sz val="10"/>
        <color theme="1"/>
        <rFont val="Calibri"/>
        <family val="2"/>
        <scheme val="minor"/>
      </rPr>
      <t>Table 3.1-8: Emission Factors for Metallic Hazardous Air Pollutants from Digester Gas-Fired Stationary Gas Turbines.</t>
    </r>
  </si>
  <si>
    <r>
      <t xml:space="preserve">South Coast Air Quality Management District. December 2016. </t>
    </r>
    <r>
      <rPr>
        <i/>
        <sz val="10"/>
        <color theme="1"/>
        <rFont val="Calibri"/>
        <family val="2"/>
        <scheme val="minor"/>
      </rPr>
      <t>Reporting Procedures for AB2588 Facilities for Reporting their Quadrennial Air Toxics Emissions Inventory.</t>
    </r>
    <r>
      <rPr>
        <sz val="10"/>
        <color theme="1"/>
        <rFont val="Calibri"/>
        <family val="2"/>
        <scheme val="minor"/>
      </rPr>
      <t>Table B-3: Default EF for LPG, Butane, or Propane Combustion - Stationary and Portable Internal Combustion Engines (ICE).</t>
    </r>
  </si>
  <si>
    <r>
      <t xml:space="preserve">South Coast Air Quality Management District. December 2016. </t>
    </r>
    <r>
      <rPr>
        <i/>
        <sz val="10"/>
        <color theme="1"/>
        <rFont val="Calibri"/>
        <family val="2"/>
        <scheme val="minor"/>
      </rPr>
      <t>Reporting Procedures for AB2588 Facilities for Reporting their Quadrennial Air Toxics Emissions Inventory.</t>
    </r>
    <r>
      <rPr>
        <sz val="10"/>
        <color theme="1"/>
        <rFont val="Calibri"/>
        <family val="2"/>
        <scheme val="minor"/>
      </rPr>
      <t>Table B-1: Default EF for Natural Gas Combustion - Stationary and Portable Internal Combustion Engines (ICE).</t>
    </r>
  </si>
  <si>
    <r>
      <t xml:space="preserve">South Coast Air Quality Management District. December 2016. </t>
    </r>
    <r>
      <rPr>
        <i/>
        <sz val="10"/>
        <color theme="1"/>
        <rFont val="Calibri"/>
        <family val="2"/>
        <scheme val="minor"/>
      </rPr>
      <t>Reporting Procedures for AB2588 Facilities for Reporting their Quadrennial Air Toxics Emissions Inventory.</t>
    </r>
    <r>
      <rPr>
        <sz val="10"/>
        <color theme="1"/>
        <rFont val="Calibri"/>
        <family val="2"/>
        <scheme val="minor"/>
      </rPr>
      <t>Table B-4: Default EF for Gasoline Combustion - Stationary and Portable Internal Combustion Engines (ICE).</t>
    </r>
  </si>
  <si>
    <r>
      <t xml:space="preserve">Harris, D. January 2014. </t>
    </r>
    <r>
      <rPr>
        <i/>
        <sz val="10"/>
        <color theme="1"/>
        <rFont val="Calibri"/>
        <family val="2"/>
        <scheme val="minor"/>
      </rPr>
      <t>Landfill Gas Fired IC Engine with Oxidation Catalyst Emission Factors.</t>
    </r>
    <r>
      <rPr>
        <sz val="10"/>
        <color theme="1"/>
        <rFont val="Calibri"/>
        <family val="2"/>
        <scheme val="minor"/>
      </rPr>
      <t>Santa Barbara County Air Pollution Control District Internal Memorandum.</t>
    </r>
  </si>
  <si>
    <r>
      <t xml:space="preserve">San Joaquin Valley Air Pollution District. April 2016. </t>
    </r>
    <r>
      <rPr>
        <i/>
        <sz val="10"/>
        <color theme="1"/>
        <rFont val="Calibri"/>
        <family val="2"/>
        <scheme val="minor"/>
      </rPr>
      <t>Toxic Emission Factors for Digester Gas-Fired Internal Combustion Engines.</t>
    </r>
    <r>
      <rPr>
        <sz val="10"/>
        <color theme="1"/>
        <rFont val="Calibri"/>
        <family val="2"/>
        <scheme val="minor"/>
      </rPr>
      <t>Digester Gas-Fired Internal Combustion Engine Spreadsheet.</t>
    </r>
  </si>
  <si>
    <r>
      <t xml:space="preserve">Ventura County Air Pollution Control District. May 2001. </t>
    </r>
    <r>
      <rPr>
        <i/>
        <sz val="10"/>
        <color theme="1"/>
        <rFont val="Calibri"/>
        <family val="2"/>
        <scheme val="minor"/>
      </rPr>
      <t>AB 2588 Combustion Emission Factors.</t>
    </r>
    <r>
      <rPr>
        <sz val="10"/>
        <color theme="1"/>
        <rFont val="Calibri"/>
        <family val="2"/>
        <scheme val="minor"/>
      </rPr>
      <t>Diesel Combustion Factors Table - internal combustion.</t>
    </r>
  </si>
  <si>
    <r>
      <t xml:space="preserve">USEPA. October 1996. </t>
    </r>
    <r>
      <rPr>
        <i/>
        <sz val="10"/>
        <color theme="1"/>
        <rFont val="Calibri"/>
        <family val="2"/>
        <scheme val="minor"/>
      </rPr>
      <t>AP-42 Chapter 3.3.</t>
    </r>
    <r>
      <rPr>
        <sz val="10"/>
        <color theme="1"/>
        <rFont val="Calibri"/>
        <family val="2"/>
        <scheme val="minor"/>
      </rPr>
      <t>Table 3.3-2: Speciated Organic Compound Emission Factors for Uncontrolled Diesel Engines.</t>
    </r>
  </si>
  <si>
    <t>The emission factors in the referenced memo are based on an April 2013 source test conducted by Total Air Analysis, Inc. for Janecheck &amp; Associates for a landfill gas fired IC engine at Marian Medical Center in Santa Maria.  Maximum emission factors for landfill gas fired engines from CARB's CATEF database supplement the source test data for those pollutants that were not included in the source testing.</t>
  </si>
  <si>
    <t>The higher emission factor from the two referenced sources was used for each pollutant.</t>
  </si>
  <si>
    <t>Emission factors from USEPA's AP-42 were supplemented with emission factors from Ventura County Air Pollution Control District for pollutants not included in AP-42 Table 3.3-2.</t>
  </si>
  <si>
    <r>
      <t xml:space="preserve">Ventura County Air Pollution Control District. May 2001. </t>
    </r>
    <r>
      <rPr>
        <i/>
        <sz val="10"/>
        <color theme="1"/>
        <rFont val="Calibri"/>
        <family val="2"/>
        <scheme val="minor"/>
      </rPr>
      <t>AB 2588 Combustion Emission Factors.</t>
    </r>
    <r>
      <rPr>
        <sz val="10"/>
        <color theme="1"/>
        <rFont val="Calibri"/>
        <family val="2"/>
        <scheme val="minor"/>
      </rPr>
      <t>Natural Gas Fired External Combustion Equipment Table - flare.</t>
    </r>
  </si>
  <si>
    <t>Hydrogen sulfide is site-specific, and must be quantified for all fugitives.</t>
  </si>
  <si>
    <r>
      <t xml:space="preserve">California Air Resources Board. October 2013. </t>
    </r>
    <r>
      <rPr>
        <i/>
        <sz val="10"/>
        <color theme="1"/>
        <rFont val="Calibri"/>
        <family val="2"/>
        <scheme val="minor"/>
      </rPr>
      <t>PM Size and Chemical Speciation Profile for Concrete Batching–PM3431.</t>
    </r>
    <r>
      <rPr>
        <sz val="10"/>
        <color theme="1"/>
        <rFont val="Calibri"/>
        <family val="2"/>
        <scheme val="minor"/>
      </rPr>
      <t>Table 3b: Profile PM3431–concrete batching, Chemical Speciation.</t>
    </r>
  </si>
  <si>
    <r>
      <t xml:space="preserve">USEPA. April 2004. </t>
    </r>
    <r>
      <rPr>
        <i/>
        <sz val="10"/>
        <color theme="1"/>
        <rFont val="Calibri"/>
        <family val="2"/>
        <scheme val="minor"/>
      </rPr>
      <t>AP-42 Chapter 11.1.</t>
    </r>
    <r>
      <rPr>
        <sz val="10"/>
        <color theme="1"/>
        <rFont val="Calibri"/>
        <family val="2"/>
        <scheme val="minor"/>
      </rPr>
      <t>Table 11.1-9: Emission Factors for Organic Pollutant Emissions from Batch Mix Hot Mix Asphalt Plants.</t>
    </r>
  </si>
  <si>
    <r>
      <t xml:space="preserve">USEPA. April 2004. </t>
    </r>
    <r>
      <rPr>
        <i/>
        <sz val="10"/>
        <color theme="1"/>
        <rFont val="Calibri"/>
        <family val="2"/>
        <scheme val="minor"/>
      </rPr>
      <t>AP-42 Chapter 11.1.</t>
    </r>
    <r>
      <rPr>
        <sz val="10"/>
        <color theme="1"/>
        <rFont val="Calibri"/>
        <family val="2"/>
        <scheme val="minor"/>
      </rPr>
      <t>Table 11.1-11: Emission Factors for Metal Emissions from Batch Mix Hot Mix Asphalt Plants.</t>
    </r>
  </si>
  <si>
    <r>
      <t xml:space="preserve">USEPA. April 2004. </t>
    </r>
    <r>
      <rPr>
        <i/>
        <sz val="10"/>
        <color theme="1"/>
        <rFont val="Calibri"/>
        <family val="2"/>
        <scheme val="minor"/>
      </rPr>
      <t>AP-42 Chapter 11.1.</t>
    </r>
    <r>
      <rPr>
        <sz val="10"/>
        <color theme="1"/>
        <rFont val="Calibri"/>
        <family val="2"/>
        <scheme val="minor"/>
      </rPr>
      <t>Table 11.1-10: Emission Factors for Organic Pollutant Emissions from Drum Mix Hot Mix Asphalt Plants.</t>
    </r>
  </si>
  <si>
    <r>
      <t xml:space="preserve">USEPA. April 2004. </t>
    </r>
    <r>
      <rPr>
        <i/>
        <sz val="10"/>
        <color theme="1"/>
        <rFont val="Calibri"/>
        <family val="2"/>
        <scheme val="minor"/>
      </rPr>
      <t>AP-42 Chapter 11.1.</t>
    </r>
    <r>
      <rPr>
        <sz val="10"/>
        <color theme="1"/>
        <rFont val="Calibri"/>
        <family val="2"/>
        <scheme val="minor"/>
      </rPr>
      <t>Table 11.1-12: Emission Factors for Metal Emissions from Drum Mix Hot Mix Asphalt Plants.</t>
    </r>
  </si>
  <si>
    <t>Mining Operations-Sand/Gravel: Crushing</t>
  </si>
  <si>
    <t>Mining Operations-Sand/Gravel: Screening</t>
  </si>
  <si>
    <t>Mining Operations-Sand/Gravel: Transfer Station</t>
  </si>
  <si>
    <r>
      <t xml:space="preserve">South Coast Air Quality Management District. December 2016. </t>
    </r>
    <r>
      <rPr>
        <i/>
        <sz val="10"/>
        <color theme="1"/>
        <rFont val="Calibri"/>
        <family val="2"/>
        <scheme val="minor"/>
      </rPr>
      <t>Reporting Procedures for AB2588 Facilities for Reporting their Quadrennial Air Toxics Emissions Inventory.</t>
    </r>
    <r>
      <rPr>
        <sz val="10"/>
        <color theme="1"/>
        <rFont val="Calibri"/>
        <family val="2"/>
        <scheme val="minor"/>
      </rPr>
      <t>Table B-7: Default EF for Digester Gas Combustion - Stationary and Portable Internal Combustion Engines (ICE) and Turbines.</t>
    </r>
  </si>
  <si>
    <t>Mining Operations-Sand/Gravel: Storage Piles</t>
  </si>
  <si>
    <t>https://www.tandfonline.com/doi/pdf/10.3155/1047-3289.59.11.1287</t>
  </si>
  <si>
    <t>The crystalline silica emission factors from the Journal of the Air &amp; Waste Management Association article were used.  All other emission factors are from San Diego County Air Pollution Control District.</t>
  </si>
  <si>
    <t>Unspeciated Dioxins (Treated as 2,3,7,8-TCDD)</t>
  </si>
  <si>
    <t>Unspeciated Furans (Treated as 2,3,7,8-TCDD)</t>
  </si>
  <si>
    <t>Recycled Asphalt Plants: Aggregate Screening</t>
  </si>
  <si>
    <t>Recycled Asphalt Plants: Aggregate Transfer</t>
  </si>
  <si>
    <t>Aggregate Transfer (to feeder bins, feeder belt, conveyors)</t>
  </si>
  <si>
    <t>Mineral-Concrete batching-Haul Roads: Paved &amp; Unpaved</t>
  </si>
  <si>
    <t>Mineral-Hot Mix Asphalt Plants-Haul Roads: Paved &amp; Unpaved</t>
  </si>
  <si>
    <t>References 7 &amp; 8</t>
  </si>
  <si>
    <t>14 -</t>
  </si>
  <si>
    <r>
      <t xml:space="preserve">USEPA. April 2004. </t>
    </r>
    <r>
      <rPr>
        <i/>
        <sz val="10"/>
        <color theme="1"/>
        <rFont val="Calibri"/>
        <family val="2"/>
        <scheme val="minor"/>
      </rPr>
      <t>AP-42 Chapter 11.1.</t>
    </r>
    <r>
      <rPr>
        <sz val="10"/>
        <color theme="1"/>
        <rFont val="Calibri"/>
        <family val="2"/>
        <scheme val="minor"/>
      </rPr>
      <t>Table 11.1-15: Speciation Profiles for Load-Out, Silo Filling, and Asphalt Storage Emissions – Organic Particulate-Based Compounds.</t>
    </r>
  </si>
  <si>
    <r>
      <t xml:space="preserve">USEPA. April 2004. </t>
    </r>
    <r>
      <rPr>
        <i/>
        <sz val="10"/>
        <color theme="1"/>
        <rFont val="Calibri"/>
        <family val="2"/>
        <scheme val="minor"/>
      </rPr>
      <t>AP-42 Chapter 11.1.</t>
    </r>
    <r>
      <rPr>
        <sz val="10"/>
        <color theme="1"/>
        <rFont val="Calibri"/>
        <family val="2"/>
        <scheme val="minor"/>
      </rPr>
      <t>Table 11.1-16: Speciation Profiles for Load-Out, Silo Filling, and Asphalt Storage Emissions – Organic Volatile-Based Compounds.</t>
    </r>
  </si>
  <si>
    <t>Carbon Disulfide</t>
  </si>
  <si>
    <t>Methyl Bromide</t>
  </si>
  <si>
    <t>Ethyl Chloride</t>
  </si>
  <si>
    <t>Methyl Chloride</t>
  </si>
  <si>
    <t>Cumene</t>
  </si>
  <si>
    <t>Aggregate Material</t>
  </si>
  <si>
    <t>Mining Operations-Sand/Gravel-Haul Roads: Paved &amp; Unpaved</t>
  </si>
  <si>
    <t>All crystalline silica emission factors presented in this spreadsheet are considered respirable crystalline silica and therefore must be included in the HRA.</t>
  </si>
  <si>
    <t>Load-out</t>
  </si>
  <si>
    <t>Yard emissions</t>
  </si>
  <si>
    <t>Asphalt storage tanks</t>
  </si>
  <si>
    <t>Silo filling</t>
  </si>
  <si>
    <t>SCC #</t>
  </si>
  <si>
    <t>The weight fraction for iso-octane (2,2,4-Trimethylpentane) is based on the conservative assumption that all isomers of octane are iso-octane.</t>
  </si>
  <si>
    <r>
      <t>References 1, 2 &amp; 3</t>
    </r>
    <r>
      <rPr>
        <vertAlign val="superscript"/>
        <sz val="11"/>
        <rFont val="Calibri"/>
        <family val="2"/>
      </rPr>
      <t>2</t>
    </r>
  </si>
  <si>
    <t>Phenol</t>
  </si>
  <si>
    <r>
      <t xml:space="preserve">California Air Resources Board. August 1991. </t>
    </r>
    <r>
      <rPr>
        <i/>
        <sz val="10"/>
        <color theme="1"/>
        <rFont val="Calibri"/>
        <family val="2"/>
        <scheme val="minor"/>
      </rPr>
      <t>Identification of Volatile Organic Compound Species Profiles.</t>
    </r>
    <r>
      <rPr>
        <sz val="10"/>
        <color theme="1"/>
        <rFont val="Calibri"/>
        <family val="2"/>
        <scheme val="minor"/>
      </rPr>
      <t xml:space="preserve"> Profile #756: Oil &amp; Gas Production Fugitives – Liquid Service.</t>
    </r>
  </si>
  <si>
    <r>
      <t xml:space="preserve">California Air Resources Board. August 1991. </t>
    </r>
    <r>
      <rPr>
        <i/>
        <sz val="10"/>
        <color theme="1"/>
        <rFont val="Calibri"/>
        <family val="2"/>
        <scheme val="minor"/>
      </rPr>
      <t>Identification of Volatile Organic Compound Species Profiles.</t>
    </r>
    <r>
      <rPr>
        <sz val="10"/>
        <color theme="1"/>
        <rFont val="Calibri"/>
        <family val="2"/>
        <scheme val="minor"/>
      </rPr>
      <t xml:space="preserve"> Profile #757: Oil &amp; Gas Production Fugitives – Gas Service.</t>
    </r>
  </si>
  <si>
    <r>
      <t xml:space="preserve">California Air Resources Board. August 1991. </t>
    </r>
    <r>
      <rPr>
        <i/>
        <sz val="10"/>
        <color theme="1"/>
        <rFont val="Calibri"/>
        <family val="2"/>
        <scheme val="minor"/>
      </rPr>
      <t>Identification of Volatile Organic Compound Species Profiles.</t>
    </r>
    <r>
      <rPr>
        <sz val="10"/>
        <color theme="1"/>
        <rFont val="Calibri"/>
        <family val="2"/>
        <scheme val="minor"/>
      </rPr>
      <t xml:space="preserve"> Profile #297: Crude Oil Evaporation – Vapor Composite from Fixed Roof Tanks.</t>
    </r>
  </si>
  <si>
    <r>
      <t xml:space="preserve">California Air Resources Board. August 1991. </t>
    </r>
    <r>
      <rPr>
        <i/>
        <sz val="10"/>
        <color theme="1"/>
        <rFont val="Calibri"/>
        <family val="2"/>
        <scheme val="minor"/>
      </rPr>
      <t>Identification of Volatile Organic Compound Species Profiles.</t>
    </r>
    <r>
      <rPr>
        <sz val="10"/>
        <color theme="1"/>
        <rFont val="Calibri"/>
        <family val="2"/>
        <scheme val="minor"/>
      </rPr>
      <t xml:space="preserve"> Profile #532: Oil &amp; Gas Extraction – Well Heads &amp; Cellars/Oil &amp; Water Separators.</t>
    </r>
  </si>
  <si>
    <t>10201002, 30500209</t>
  </si>
  <si>
    <t>30600105, 31000404, 31000414</t>
  </si>
  <si>
    <t>31000405, 31000415</t>
  </si>
  <si>
    <t>10200502, 10200503, 10300502, 10300503, 30500208</t>
  </si>
  <si>
    <t>Flares – Propane</t>
  </si>
  <si>
    <t>Flares, Propane-fired</t>
  </si>
  <si>
    <t>https://www3.epa.gov/ttn/chief/ap42/ch03/final/c03s02.pdf</t>
  </si>
  <si>
    <t>The total PAH emission factor is from AP-42 Table 3.2-3.  A review of the AP-42 background documentation showed that the naphthalene emission factor was based on both detectable and non-detectable results while the PAH emission factor was based on only detectable results.  Therefore, it is not appropriate to subtract the naphthalene emission factor from the PAH emission factor as that may underreport PAHs.  For that reason, the entire PAH emission factor from AP-42 must be used to calculate PAH emissions.</t>
  </si>
  <si>
    <t>Turbine – Diesel</t>
  </si>
  <si>
    <t>20200101, 20200103, 20300102</t>
  </si>
  <si>
    <t>Reference 9</t>
  </si>
  <si>
    <t>15 -</t>
  </si>
  <si>
    <t>The ammonia emission factor for this equipment type is for equipment with SNCR.  For equipment with SCR, use 1.4 lb-ammonia/1000 gal.  For equipment without SNCR or SCR, use 0.8 lb-ammonia/1000 gal.</t>
  </si>
  <si>
    <r>
      <t>IC-Diesel Fuel</t>
    </r>
    <r>
      <rPr>
        <vertAlign val="superscript"/>
        <sz val="11"/>
        <rFont val="Calibri"/>
        <family val="2"/>
      </rPr>
      <t>2</t>
    </r>
  </si>
  <si>
    <t>Sulfates</t>
  </si>
  <si>
    <t>Fugitive Dust</t>
  </si>
  <si>
    <t>Unpaved Road Dust (General)</t>
  </si>
  <si>
    <t>Paved Road Dust (General)</t>
  </si>
  <si>
    <t>Landfill Dust (Haul Roads and Other Dust from Landfills)</t>
  </si>
  <si>
    <t>https://ww3.arb.ca.gov/ei/speciate/speciate.htm</t>
  </si>
  <si>
    <t>Emission factors from CARB's PM speciation profiles were supplemented with crystalline silica emission factors from San Diego County Air Pollution Control District.</t>
  </si>
  <si>
    <r>
      <t>Mineral-Concrete Batching-Haul Roads: Paved &amp; Unpaved -</t>
    </r>
    <r>
      <rPr>
        <sz val="11"/>
        <color rgb="FFC00000"/>
        <rFont val="Calibri"/>
        <family val="2"/>
      </rPr>
      <t xml:space="preserve"> </t>
    </r>
    <r>
      <rPr>
        <i/>
        <sz val="11"/>
        <rFont val="Calibri"/>
        <family val="2"/>
      </rPr>
      <t>Duplicate from Minerals Tab</t>
    </r>
  </si>
  <si>
    <r>
      <t xml:space="preserve">Mineral-Hot Mix Asphalt Plants-Haul Roads: Paved &amp; Unpaved - </t>
    </r>
    <r>
      <rPr>
        <sz val="11"/>
        <color rgb="FFC00000"/>
        <rFont val="Calibri"/>
        <family val="2"/>
      </rPr>
      <t xml:space="preserve"> </t>
    </r>
    <r>
      <rPr>
        <i/>
        <sz val="11"/>
        <rFont val="Calibri"/>
        <family val="2"/>
      </rPr>
      <t>Duplicate from Minerals Tab</t>
    </r>
  </si>
  <si>
    <r>
      <t>Mining Operations-Sand/Gravel-Haul Roads: Paved &amp; Unpaved -</t>
    </r>
    <r>
      <rPr>
        <sz val="11"/>
        <color rgb="FFC00000"/>
        <rFont val="Calibri"/>
        <family val="2"/>
      </rPr>
      <t xml:space="preserve"> </t>
    </r>
    <r>
      <rPr>
        <i/>
        <sz val="11"/>
        <rFont val="Calibri"/>
        <family val="2"/>
      </rPr>
      <t>Duplicate from Minerals Tab</t>
    </r>
  </si>
  <si>
    <t>10200601, 30500206, 30590003</t>
  </si>
  <si>
    <t>References 4 &amp; 5</t>
  </si>
  <si>
    <t>Reference 7</t>
  </si>
  <si>
    <t>Reference 10</t>
  </si>
  <si>
    <t>16 -</t>
  </si>
  <si>
    <r>
      <t>IC-Electrical Generation-Natural Gas: Turbine</t>
    </r>
    <r>
      <rPr>
        <vertAlign val="superscript"/>
        <sz val="11"/>
        <rFont val="Calibri"/>
        <family val="2"/>
      </rPr>
      <t>1,2</t>
    </r>
  </si>
  <si>
    <r>
      <t>IC-Industrial-Natural Gas: Turbine</t>
    </r>
    <r>
      <rPr>
        <vertAlign val="superscript"/>
        <sz val="11"/>
        <rFont val="Calibri"/>
        <family val="2"/>
      </rPr>
      <t>1,2</t>
    </r>
  </si>
  <si>
    <r>
      <t>IC-Industrial-Natural Gas: Turbine/Cogeneration</t>
    </r>
    <r>
      <rPr>
        <vertAlign val="superscript"/>
        <sz val="11"/>
        <rFont val="Calibri"/>
        <family val="2"/>
      </rPr>
      <t>1,2</t>
    </r>
  </si>
  <si>
    <r>
      <t>IC-Comm./Institution-Natural Gas: Turbine</t>
    </r>
    <r>
      <rPr>
        <vertAlign val="superscript"/>
        <sz val="11"/>
        <rFont val="Calibri"/>
        <family val="2"/>
      </rPr>
      <t>1,2</t>
    </r>
  </si>
  <si>
    <r>
      <t>Turbine - Diesel</t>
    </r>
    <r>
      <rPr>
        <vertAlign val="superscript"/>
        <sz val="11"/>
        <rFont val="Calibri"/>
        <family val="2"/>
      </rPr>
      <t>3</t>
    </r>
  </si>
  <si>
    <r>
      <t>4 Stroke-Rich Burn</t>
    </r>
    <r>
      <rPr>
        <vertAlign val="superscript"/>
        <sz val="11"/>
        <color theme="1"/>
        <rFont val="Calibri"/>
        <family val="2"/>
        <scheme val="minor"/>
      </rPr>
      <t>4</t>
    </r>
  </si>
  <si>
    <r>
      <t>Reference 11</t>
    </r>
    <r>
      <rPr>
        <vertAlign val="superscript"/>
        <sz val="11"/>
        <rFont val="Calibri"/>
        <family val="2"/>
      </rPr>
      <t>6</t>
    </r>
  </si>
  <si>
    <r>
      <t>References 12 &amp; 13</t>
    </r>
    <r>
      <rPr>
        <vertAlign val="superscript"/>
        <sz val="11"/>
        <rFont val="Calibri"/>
        <family val="2"/>
      </rPr>
      <t>7</t>
    </r>
  </si>
  <si>
    <t>References 6 &amp; 14</t>
  </si>
  <si>
    <r>
      <t>References 14 &amp; 15</t>
    </r>
    <r>
      <rPr>
        <vertAlign val="superscript"/>
        <sz val="11"/>
        <rFont val="Calibri"/>
        <family val="2"/>
      </rPr>
      <t>8</t>
    </r>
  </si>
  <si>
    <r>
      <t>Turbine - LPG, Butane, or Propane</t>
    </r>
    <r>
      <rPr>
        <vertAlign val="superscript"/>
        <sz val="11"/>
        <color theme="1"/>
        <rFont val="Calibri"/>
        <family val="2"/>
        <scheme val="minor"/>
      </rPr>
      <t>1</t>
    </r>
  </si>
  <si>
    <t>Natural gas emission factors were converted to propane based on the HHV of 1,020 Btu/scf for natural gas and 91,500 Btu/gal for propane.</t>
  </si>
  <si>
    <t>These factors may be updated if more appropriate factors are found (e.g., factors based on the flaring of digester gas).</t>
  </si>
  <si>
    <t>Hydrogen Sulfide</t>
  </si>
  <si>
    <t>Flares - Digester Gas</t>
  </si>
  <si>
    <t>SW-Industrial-WWTP-Digester Gas Flare</t>
  </si>
  <si>
    <t>Cement Storage Silo</t>
  </si>
  <si>
    <t>Fly Ash Storage Silo</t>
  </si>
  <si>
    <t>11-</t>
  </si>
  <si>
    <t>References 1 &amp; 2</t>
  </si>
  <si>
    <t>References 2 &amp; 3</t>
  </si>
  <si>
    <r>
      <t>References 1, 2, 3</t>
    </r>
    <r>
      <rPr>
        <vertAlign val="superscript"/>
        <sz val="11"/>
        <color theme="1"/>
        <rFont val="Calibri"/>
        <family val="2"/>
        <scheme val="minor"/>
      </rPr>
      <t>1,2</t>
    </r>
  </si>
  <si>
    <t>References 8 &amp; 9</t>
  </si>
  <si>
    <r>
      <t xml:space="preserve">All emission factors presented in these rows are in units of lb/lb-TOC; for ease of use the speciated polycyclic aromatic hydrocarbons (PAHs) and phenol units were converted from lb/lb organic PM to lb/lb-TOC using the ratio of organic PM to TOC found in </t>
    </r>
    <r>
      <rPr>
        <i/>
        <sz val="10"/>
        <rFont val="Calibri"/>
        <family val="2"/>
      </rPr>
      <t>AP-42 Chapter 11.1</t>
    </r>
    <r>
      <rPr>
        <sz val="10"/>
        <rFont val="Calibri"/>
        <family val="2"/>
      </rPr>
      <t xml:space="preserve"> Table 11.1-14, </t>
    </r>
    <r>
      <rPr>
        <i/>
        <sz val="10"/>
        <rFont val="Calibri"/>
        <family val="2"/>
      </rPr>
      <t>Predictive Emission Factor Equations for Load-out and Silo Filling Operations</t>
    </r>
    <r>
      <rPr>
        <sz val="10"/>
        <rFont val="Calibri"/>
        <family val="2"/>
      </rPr>
      <t>.</t>
    </r>
  </si>
  <si>
    <r>
      <rPr>
        <sz val="10"/>
        <rFont val="Calibri"/>
        <family val="2"/>
        <scheme val="minor"/>
      </rPr>
      <t xml:space="preserve">For the initial health risk assessment (HRA) for a natural gas-fired turbine or LPG turbine, include both the naphthalene and polycyclic aromatic hydrocarbons (PAHs) emission factor from Table 3.1-3 of AP-42.  If the results of the initial HRA indicate a significant cancer risk and the chronic non-cancer risk is less than 0.1, rerun the final HRA with the naphthalene emission factor set to zero.  For additional information, see the District’s Internal Memorandum dated May 2021 regarding </t>
    </r>
    <r>
      <rPr>
        <i/>
        <u/>
        <sz val="10"/>
        <color theme="10"/>
        <rFont val="Calibri"/>
        <family val="2"/>
        <scheme val="minor"/>
      </rPr>
      <t>PAH and Naphthalene Emission Factors for Natural Gas-Fired Turbines.</t>
    </r>
  </si>
  <si>
    <t>Criteria Pollutants</t>
  </si>
  <si>
    <t>Sulfur Dioxide</t>
  </si>
  <si>
    <t>Emissions from sulfur dioxide are based on mass balance of the sulfur in the fuel and must be quantified for all external combustion sources.</t>
  </si>
  <si>
    <t>Emissions from sulfur dioxide are based on mass balance of the sulfur in the fuel and must be quantified for all internal combustion sources.</t>
  </si>
  <si>
    <t>Emissions from sulfur dioxide are based on mass balance of the sulfur in the fuel and must be quantified for all combustion sources.</t>
  </si>
  <si>
    <r>
      <t>2 Stroke-Lean Burn</t>
    </r>
    <r>
      <rPr>
        <vertAlign val="superscript"/>
        <sz val="11"/>
        <color theme="1"/>
        <rFont val="Calibri"/>
        <family val="2"/>
        <scheme val="minor"/>
      </rPr>
      <t>2</t>
    </r>
  </si>
  <si>
    <r>
      <t>4 Stroke-Lean Burn</t>
    </r>
    <r>
      <rPr>
        <vertAlign val="superscript"/>
        <sz val="11"/>
        <color theme="1"/>
        <rFont val="Calibri"/>
        <family val="2"/>
        <scheme val="minor"/>
      </rPr>
      <t>2</t>
    </r>
  </si>
  <si>
    <r>
      <t>Unknown Engine Type</t>
    </r>
    <r>
      <rPr>
        <vertAlign val="superscript"/>
        <sz val="11"/>
        <color theme="1"/>
        <rFont val="Calibri"/>
        <family val="2"/>
        <scheme val="minor"/>
      </rPr>
      <t>2</t>
    </r>
  </si>
  <si>
    <t>The ammonia emission factor for this equipment type is for equipment with SNCR.  For equipment with SCR, use 9.1 lb-ammonia/MMcf.  For equipment without SNCR or SCR, use 3.2 lb-ammonia/MMscf.</t>
  </si>
  <si>
    <r>
      <t xml:space="preserve">USEPA. August 2004. </t>
    </r>
    <r>
      <rPr>
        <i/>
        <sz val="10"/>
        <color theme="1"/>
        <rFont val="Calibri"/>
        <family val="2"/>
        <scheme val="minor"/>
      </rPr>
      <t>User's Guide for the Emissions Modeling System for Hazardous Air Pollutants (EMS-HAP) Version 3.0.</t>
    </r>
  </si>
  <si>
    <t>https://gaftp.epa.gov/Air/aqmg/SCRAM/models/related/emshap/emshapv3ug.pdf</t>
  </si>
  <si>
    <t>Reference 6</t>
  </si>
  <si>
    <r>
      <t xml:space="preserve">Santa Barbara County Air Pollution Control District. June 2014. </t>
    </r>
    <r>
      <rPr>
        <i/>
        <sz val="10"/>
        <color theme="1"/>
        <rFont val="Calibri"/>
        <family val="2"/>
        <scheme val="minor"/>
      </rPr>
      <t>Landfill Gas Fired Flare Toxic Emission Factors.xls.</t>
    </r>
  </si>
  <si>
    <t>References 10 &amp; 11</t>
  </si>
  <si>
    <t>References 12 &amp; 13</t>
  </si>
  <si>
    <t>Reference 13</t>
  </si>
  <si>
    <t>17 -</t>
  </si>
  <si>
    <t>https://ww2.arb.ca.gov/california-air-toxics-emission-factor</t>
  </si>
  <si>
    <t>https://www.sdapcd.org/content/dam/sdapcd/documents/permits/emissions-calculation/combustion--gas-fuels/APCD-Flare-Digester-Gas-Fired-Enclosed-F02-template-post-revision2.pdf</t>
  </si>
  <si>
    <r>
      <t xml:space="preserve">California Air Resources Board. December 14, 2018. </t>
    </r>
    <r>
      <rPr>
        <i/>
        <sz val="10"/>
        <color theme="1"/>
        <rFont val="Calibri"/>
        <family val="2"/>
        <scheme val="minor"/>
      </rPr>
      <t>Speciation Profiles Used in ARB Modeling.</t>
    </r>
    <r>
      <rPr>
        <sz val="10"/>
        <color theme="1"/>
        <rFont val="Calibri"/>
        <family val="2"/>
        <scheme val="minor"/>
      </rPr>
      <t>Profile #421: Landfill Dust.</t>
    </r>
  </si>
  <si>
    <t>https://www.arb.ca.gov/ei/speciate/profilereference/concretebatching_pm3431.pdf</t>
  </si>
  <si>
    <t>https://www.sdapcd.org/content/dam/sdapcd/documents/permits/emissions-calculation/mineral-products-industry-cement-and-fly-ash-storage-silos/APCD-Cement-Storage-Silo-Pneumatic-Loading.pdf</t>
  </si>
  <si>
    <r>
      <t xml:space="preserve">San Diego County Air Pollution Control District. August 1999. </t>
    </r>
    <r>
      <rPr>
        <i/>
        <sz val="10"/>
        <rFont val="Calibri"/>
        <family val="2"/>
        <scheme val="minor"/>
      </rPr>
      <t>S01 - Cement Storage Silo, Pneumatic Loading, Section 11.12 AP-42 (1/95), w/ Vent Sock Controls.</t>
    </r>
  </si>
  <si>
    <t>https://www.sdapcd.org/content/dam/sdapcd/documents/permits/emissions-calculation/mineral-products-industry-cement-and-fly-ash-storage-silos/APCD-Fly-Ash-Storage-Silo-Pneumatic-Loading.pdf</t>
  </si>
  <si>
    <r>
      <t xml:space="preserve">San Diego County Air Pollution Control District. April 2022. </t>
    </r>
    <r>
      <rPr>
        <i/>
        <sz val="10"/>
        <color theme="1"/>
        <rFont val="Calibri"/>
        <family val="2"/>
        <scheme val="minor"/>
      </rPr>
      <t>C01 - Crematory, Natural Gas Fired, Human Remains, Controlled Air.</t>
    </r>
  </si>
  <si>
    <t>https://www.sdapcd.org/content/dam/sdapcd/documents/permits/emissions-calculation/incinerator-and-crematory/APCD-Crematory-Natural-Gas-Fired-Human-Remains-Controlled-Air.pdf</t>
  </si>
  <si>
    <r>
      <t xml:space="preserve">California Air Resources Board. December 14, 2018. </t>
    </r>
    <r>
      <rPr>
        <i/>
        <sz val="10"/>
        <color theme="1"/>
        <rFont val="Calibri"/>
        <family val="2"/>
        <scheme val="minor"/>
      </rPr>
      <t>Speciation Profiles Used in ARB Modeling.</t>
    </r>
    <r>
      <rPr>
        <sz val="10"/>
        <color theme="1"/>
        <rFont val="Calibri"/>
        <family val="2"/>
        <scheme val="minor"/>
      </rPr>
      <t>Profile # 470: Unpaved Road Dust (1997 and After)</t>
    </r>
  </si>
  <si>
    <r>
      <t xml:space="preserve">California Air Resources Board. December 14, 2018. </t>
    </r>
    <r>
      <rPr>
        <i/>
        <sz val="10"/>
        <color theme="1"/>
        <rFont val="Calibri"/>
        <family val="2"/>
        <scheme val="minor"/>
      </rPr>
      <t>Speciation Profiles Used in ARB Modeling.</t>
    </r>
    <r>
      <rPr>
        <sz val="10"/>
        <color theme="1"/>
        <rFont val="Calibri"/>
        <family val="2"/>
        <scheme val="minor"/>
      </rPr>
      <t>Profile # 471: Paved Road Dust (1997 and After)</t>
    </r>
  </si>
  <si>
    <r>
      <t xml:space="preserve">John R. Richards, Todd T. Brozell, Charles Rea, Geoff Boraston &amp; John Hayden. 2009. </t>
    </r>
    <r>
      <rPr>
        <i/>
        <sz val="10"/>
        <rFont val="Calibri"/>
        <family val="2"/>
        <scheme val="minor"/>
      </rPr>
      <t>PM4 Crystalline Silica Emission Factors and Ambient Concentrations at Aggregate-Producing Sources in California,</t>
    </r>
    <r>
      <rPr>
        <sz val="10"/>
        <rFont val="Calibri"/>
        <family val="2"/>
        <scheme val="minor"/>
      </rPr>
      <t>Journal of the Air &amp; Waste Management Association, 59:11, 1287-1295, DOI: 10.3155/1047-3289.59.11.1287.</t>
    </r>
  </si>
  <si>
    <r>
      <t>References 2, 3 &amp; 4</t>
    </r>
    <r>
      <rPr>
        <vertAlign val="superscript"/>
        <sz val="11"/>
        <color theme="1"/>
        <rFont val="Calibri"/>
        <family val="2"/>
        <scheme val="minor"/>
      </rPr>
      <t>1,3</t>
    </r>
  </si>
  <si>
    <r>
      <t>References 2, 3 &amp; 4</t>
    </r>
    <r>
      <rPr>
        <vertAlign val="superscript"/>
        <sz val="11"/>
        <color theme="1"/>
        <rFont val="Calibri"/>
        <family val="2"/>
        <scheme val="minor"/>
      </rPr>
      <t>1,4</t>
    </r>
  </si>
  <si>
    <r>
      <t xml:space="preserve">South Coast Air Quality Management District. December 2016. </t>
    </r>
    <r>
      <rPr>
        <i/>
        <sz val="10"/>
        <color theme="1"/>
        <rFont val="Calibri"/>
        <family val="2"/>
        <scheme val="minor"/>
      </rPr>
      <t>Reporting Procedures for AB2588 Facilities for Reporting their Quadrennial Air Toxics Emissions Inventory.</t>
    </r>
    <r>
      <rPr>
        <sz val="10"/>
        <color theme="1"/>
        <rFont val="Calibri"/>
        <family val="2"/>
        <scheme val="minor"/>
      </rPr>
      <t>Table B-2: Default EF for Diesel/Distillate Oil Fuel Combustion.</t>
    </r>
  </si>
  <si>
    <r>
      <t xml:space="preserve">USEPA. July 2000. </t>
    </r>
    <r>
      <rPr>
        <i/>
        <sz val="10"/>
        <color theme="1"/>
        <rFont val="Calibri"/>
        <family val="2"/>
        <scheme val="minor"/>
      </rPr>
      <t>AP-42 Chapter 3.2.</t>
    </r>
    <r>
      <rPr>
        <sz val="10"/>
        <color theme="1"/>
        <rFont val="Calibri"/>
        <family val="2"/>
        <scheme val="minor"/>
      </rPr>
      <t>Table 3.2-3: Uncontrolled Emission Factors for 4-Stroke Rich-Burn Engines.</t>
    </r>
  </si>
  <si>
    <r>
      <t>References 1, 2 &amp; 3</t>
    </r>
    <r>
      <rPr>
        <vertAlign val="superscript"/>
        <sz val="11"/>
        <color theme="1"/>
        <rFont val="Calibri"/>
        <family val="2"/>
        <scheme val="minor"/>
      </rPr>
      <t>1,2</t>
    </r>
  </si>
  <si>
    <r>
      <t>References 1 &amp; 2</t>
    </r>
    <r>
      <rPr>
        <vertAlign val="superscript"/>
        <sz val="11"/>
        <color theme="1"/>
        <rFont val="Calibri"/>
        <family val="2"/>
        <scheme val="minor"/>
      </rPr>
      <t>1,3</t>
    </r>
  </si>
  <si>
    <r>
      <t>References 1, 2 &amp; 3</t>
    </r>
    <r>
      <rPr>
        <vertAlign val="superscript"/>
        <sz val="11"/>
        <color theme="1"/>
        <rFont val="Calibri"/>
        <family val="2"/>
        <scheme val="minor"/>
      </rPr>
      <t>1,4</t>
    </r>
  </si>
  <si>
    <r>
      <t>lb/ton remains</t>
    </r>
    <r>
      <rPr>
        <vertAlign val="superscript"/>
        <sz val="11"/>
        <color theme="1"/>
        <rFont val="Calibri"/>
        <family val="2"/>
        <scheme val="minor"/>
      </rPr>
      <t>5</t>
    </r>
  </si>
  <si>
    <r>
      <t>References 2 &amp; 3</t>
    </r>
    <r>
      <rPr>
        <vertAlign val="superscript"/>
        <sz val="11"/>
        <rFont val="Calibri"/>
        <family val="2"/>
      </rPr>
      <t>1</t>
    </r>
  </si>
  <si>
    <r>
      <t>References 4 &amp; 5</t>
    </r>
    <r>
      <rPr>
        <vertAlign val="superscript"/>
        <sz val="11"/>
        <rFont val="Calibri"/>
        <family val="2"/>
      </rPr>
      <t>1</t>
    </r>
  </si>
  <si>
    <r>
      <t>References 2 &amp; 6</t>
    </r>
    <r>
      <rPr>
        <vertAlign val="superscript"/>
        <sz val="11"/>
        <rFont val="Calibri"/>
        <family val="2"/>
      </rPr>
      <t>2</t>
    </r>
  </si>
  <si>
    <r>
      <t>Silica, crystalline</t>
    </r>
    <r>
      <rPr>
        <b/>
        <vertAlign val="superscript"/>
        <sz val="12"/>
        <color theme="1"/>
        <rFont val="Calibri"/>
        <family val="2"/>
        <scheme val="minor"/>
      </rPr>
      <t>3</t>
    </r>
  </si>
  <si>
    <r>
      <t>References 4 &amp; 5</t>
    </r>
    <r>
      <rPr>
        <vertAlign val="superscript"/>
        <sz val="11"/>
        <rFont val="Calibri"/>
        <family val="2"/>
      </rPr>
      <t>3</t>
    </r>
  </si>
  <si>
    <r>
      <t>References 2 &amp; 6</t>
    </r>
    <r>
      <rPr>
        <vertAlign val="superscript"/>
        <sz val="11"/>
        <rFont val="Calibri"/>
        <family val="2"/>
      </rPr>
      <t>4</t>
    </r>
  </si>
  <si>
    <r>
      <t>References 2 &amp; 7</t>
    </r>
    <r>
      <rPr>
        <vertAlign val="superscript"/>
        <sz val="11"/>
        <rFont val="Calibri"/>
        <family val="2"/>
      </rPr>
      <t>5</t>
    </r>
  </si>
  <si>
    <r>
      <t>Silica, crystalline</t>
    </r>
    <r>
      <rPr>
        <b/>
        <vertAlign val="superscript"/>
        <sz val="12"/>
        <color theme="1"/>
        <rFont val="Calibri"/>
        <family val="2"/>
        <scheme val="minor"/>
      </rPr>
      <t>8</t>
    </r>
  </si>
  <si>
    <r>
      <t xml:space="preserve">USEPA. April 2000. </t>
    </r>
    <r>
      <rPr>
        <i/>
        <sz val="10"/>
        <color theme="1"/>
        <rFont val="Calibri"/>
        <family val="2"/>
        <scheme val="minor"/>
      </rPr>
      <t>AP-42 Chapter 3.1.</t>
    </r>
    <r>
      <rPr>
        <sz val="10"/>
        <color theme="1"/>
        <rFont val="Calibri"/>
        <family val="2"/>
        <scheme val="minor"/>
      </rPr>
      <t>Table 3.1-3: Emission Factors For Hazardous Air Pollutants From Natural Gas-Fired Stationary Gas Turbines.</t>
    </r>
  </si>
  <si>
    <t>31502101, 31502103</t>
  </si>
  <si>
    <t>Crematory Natural Gas Fired- Animal Remains</t>
  </si>
  <si>
    <r>
      <t>References 1, 2 &amp; 8</t>
    </r>
    <r>
      <rPr>
        <vertAlign val="superscript"/>
        <sz val="11"/>
        <rFont val="Calibri"/>
        <family val="2"/>
        <scheme val="minor"/>
      </rPr>
      <t>1</t>
    </r>
    <r>
      <rPr>
        <vertAlign val="superscript"/>
        <sz val="11"/>
        <color theme="1"/>
        <rFont val="Calibri"/>
        <family val="2"/>
        <scheme val="minor"/>
      </rPr>
      <t>,6,7</t>
    </r>
  </si>
  <si>
    <t>lb/ton remains</t>
  </si>
  <si>
    <r>
      <t xml:space="preserve">San Diego County Air Pollution Control District. April 2022. </t>
    </r>
    <r>
      <rPr>
        <i/>
        <sz val="10"/>
        <color theme="1"/>
        <rFont val="Calibri"/>
        <family val="2"/>
        <scheme val="minor"/>
      </rPr>
      <t>C02 - Crematory, Natural Gas Fired, Animal Remains, Controlled Air.</t>
    </r>
  </si>
  <si>
    <t>https://www.sdapcd.org/content/dam/sdapcd/documents/permits/emissions-calculation/incinerator-and-crematory/APCD-Crematory-Natural-Gas-Fired-Animal-Remains-Controlled-Air.pdf</t>
  </si>
  <si>
    <t>Emission factors from CARB's document were supplemented with emission factors from San Diego County Air Pollution Control District for pollutants not included in CARB's concrete batching speciation document, except for crystalline silica and zinc.  The crystalline silica emission factor is from the Journal of the Air &amp; Waste Management Association article described in Reference 3.  The zinc emission factor from SDCAPCD was used because it is more conservative than the CARB value.</t>
  </si>
  <si>
    <t>Emission factors from CARB's document were supplemented with emission factors from San Diego County Air Pollution Control District for pollutants not included in CARB's concrete batching speciation document, except for zinc.  The zinc emission factor from SDCAPCD was used because it is more conservative than the CARB value.</t>
  </si>
  <si>
    <r>
      <t xml:space="preserve">San Diego County Air Pollution Control District. August 1999. </t>
    </r>
    <r>
      <rPr>
        <i/>
        <sz val="10"/>
        <color theme="1"/>
        <rFont val="Calibri"/>
        <family val="2"/>
        <scheme val="minor"/>
      </rPr>
      <t>C01 - Concrete Batch Plant, Transit Mix Operation, Section 11.12 AP-42 (1/95), w/Baghouse Controls.</t>
    </r>
  </si>
  <si>
    <t>https://www.sdapcd.org/content/dam/sdapcd/documents/permits/emissions-calculation/mineral-products-industry-concrete-batch-plant/O05-C01-APCD-Concrete-Batch-Plant-Transit-Mix-Base-Operation.pdf</t>
  </si>
  <si>
    <t>The crystalline silica emission factor is from Reference 2 (San Diego County Air Pollution Control District. August 1999. C01 - Concrete Batch Plant, Transit Mix Operation, Section 11.12 AP-42 (1/95), w/Baghouse Controls).  All other emission factors are from Reference 6 (San Diego County Air Pollution Control District. August 1999. S01 - Cement Storage Silo, Pneumatic Loading, Section 11.12 AP-42 (1/95), w/ Vent Sock Controls).</t>
  </si>
  <si>
    <t>The crystalline silica emission factor is from Reference 2 (San Diego County Air Pollution Control District. August 1999. C01 - Concrete Batch Plant, Transit Mix Operation, Section 11.12 AP-42 (1/95), w/Baghouse Controls).  All other emission factors are from Reference 7 (San Diego County Air Pollution Control District. August 1999. S01 - Cement Storage Silo, Pneumatic Loading, Section 11.12 AP-42 (1/95), w/ Vent Sock Controls).</t>
  </si>
  <si>
    <t>Santa Barbara County Approved Emission Factors - December 2023</t>
  </si>
  <si>
    <t>The hexavalent chromium emission factor, equal to 4% of the total chromium, is from the Steam, gas and hydraulic turbines (SIC 3511) value from Appendix C, Section C.4.3 of Reference 4.</t>
  </si>
  <si>
    <t>The hexavalent chromium emission factor, equal to 0.5% of the total chromium, is from the Ready-Mixed Concrete value from Appendix C, Section C.4.3 of Reference 4.</t>
  </si>
  <si>
    <t>The hexavalent chromium emission factor, equal to 0.5% of the total chromium, is from the Ready-Mixed Concrete value from Appendix C, Section C.4.3 of Reference 5.</t>
  </si>
  <si>
    <r>
      <t>References 5, 10 &amp; 11</t>
    </r>
    <r>
      <rPr>
        <vertAlign val="superscript"/>
        <sz val="11"/>
        <rFont val="Calibri"/>
        <family val="2"/>
      </rPr>
      <t>3</t>
    </r>
  </si>
  <si>
    <r>
      <t>References 3, 5 &amp; 14</t>
    </r>
    <r>
      <rPr>
        <vertAlign val="superscript"/>
        <sz val="11"/>
        <rFont val="Calibri"/>
        <family val="2"/>
      </rPr>
      <t>3,7</t>
    </r>
  </si>
  <si>
    <r>
      <t>References 3, 5 &amp; 15</t>
    </r>
    <r>
      <rPr>
        <vertAlign val="superscript"/>
        <sz val="11"/>
        <rFont val="Calibri"/>
        <family val="2"/>
      </rPr>
      <t>3,7</t>
    </r>
  </si>
  <si>
    <r>
      <t>References 3, 5 &amp; 16</t>
    </r>
    <r>
      <rPr>
        <vertAlign val="superscript"/>
        <sz val="11"/>
        <rFont val="Calibri"/>
        <family val="2"/>
      </rPr>
      <t>3,7</t>
    </r>
  </si>
  <si>
    <r>
      <t>References 3, 5 &amp; 17</t>
    </r>
    <r>
      <rPr>
        <vertAlign val="superscript"/>
        <sz val="11"/>
        <rFont val="Calibri"/>
        <family val="2"/>
      </rPr>
      <t>3,7</t>
    </r>
  </si>
  <si>
    <r>
      <t>Mass Balance</t>
    </r>
    <r>
      <rPr>
        <vertAlign val="superscript"/>
        <sz val="11"/>
        <rFont val="Calibri"/>
        <family val="2"/>
        <scheme val="minor"/>
      </rPr>
      <t>5</t>
    </r>
  </si>
  <si>
    <r>
      <t>Mass Balance</t>
    </r>
    <r>
      <rPr>
        <vertAlign val="superscript"/>
        <sz val="11"/>
        <rFont val="Calibri"/>
        <family val="2"/>
        <scheme val="minor"/>
      </rPr>
      <t>9</t>
    </r>
  </si>
  <si>
    <r>
      <t>Mass Balance</t>
    </r>
    <r>
      <rPr>
        <vertAlign val="superscript"/>
        <sz val="11"/>
        <color theme="1"/>
        <rFont val="Calibri"/>
        <family val="2"/>
        <scheme val="minor"/>
      </rPr>
      <t>8</t>
    </r>
  </si>
  <si>
    <r>
      <t>Mass Balance</t>
    </r>
    <r>
      <rPr>
        <vertAlign val="superscript"/>
        <sz val="11"/>
        <color theme="1"/>
        <rFont val="Calibri"/>
        <family val="2"/>
        <scheme val="minor"/>
      </rPr>
      <t>9</t>
    </r>
  </si>
  <si>
    <r>
      <t>4 Stroke-Rich Burn</t>
    </r>
    <r>
      <rPr>
        <vertAlign val="superscript"/>
        <sz val="11"/>
        <color theme="1"/>
        <rFont val="Calibri"/>
        <family val="2"/>
        <scheme val="minor"/>
      </rPr>
      <t>2,4,5</t>
    </r>
  </si>
  <si>
    <t>The PAH natural gas emission factor from AP-42 was converted based on a HHV of 1,020 Btu/scf for natural gas and 91,500 Btu/gal for propane.</t>
  </si>
  <si>
    <r>
      <t xml:space="preserve">California Air Resources Board. 2023. </t>
    </r>
    <r>
      <rPr>
        <i/>
        <sz val="10"/>
        <color theme="1"/>
        <rFont val="Calibri"/>
        <family val="2"/>
        <scheme val="minor"/>
      </rPr>
      <t>California Air Toxics Emission Factor.</t>
    </r>
    <r>
      <rPr>
        <sz val="10"/>
        <color theme="1"/>
        <rFont val="Calibri"/>
        <family val="2"/>
        <scheme val="minor"/>
      </rPr>
      <t>Maximum emission factors for landfill gas flares supplemented the source test emission factors for pollutants not included in source testing, noted in Reference 4.</t>
    </r>
  </si>
  <si>
    <r>
      <t>The hexavalent chromium emission factor, equal to 20% of the total chromium, is from the Industrial, commercial and instituational (</t>
    </r>
    <r>
      <rPr>
        <i/>
        <sz val="10"/>
        <color theme="1"/>
        <rFont val="Calibri"/>
        <family val="2"/>
        <scheme val="minor"/>
      </rPr>
      <t>sic</t>
    </r>
    <r>
      <rPr>
        <sz val="10"/>
        <color theme="1"/>
        <rFont val="Calibri"/>
        <family val="2"/>
        <scheme val="minor"/>
      </rPr>
      <t>) boilers: fuel oil value from Appendix C, Section C.4.3 of Reference 3.</t>
    </r>
  </si>
  <si>
    <r>
      <t>The hexavalent chromium emission factor, equal to 20% of the total chromium, is from the Industrial, commercial and instituational (</t>
    </r>
    <r>
      <rPr>
        <i/>
        <sz val="10"/>
        <color theme="1"/>
        <rFont val="Calibri"/>
        <family val="2"/>
        <scheme val="minor"/>
      </rPr>
      <t>sic</t>
    </r>
    <r>
      <rPr>
        <sz val="10"/>
        <color theme="1"/>
        <rFont val="Calibri"/>
        <family val="2"/>
        <scheme val="minor"/>
      </rPr>
      <t>) boilers: fuel oil value from Appendix C, Section C.4.3 of Reference 4.</t>
    </r>
  </si>
  <si>
    <t>The hexavalent chromium emission factor, equal to 4% of the total chromium, is from the Steam, gas and hydraulic turbines (SIC 3511) value from Appendix C, Section C.4.3 of Reference 3.</t>
  </si>
  <si>
    <t>The emission factor for mercury in San Diego County Air Pollution Control District's document was presented in units of lb/body.  This factor was converted to units of lb/ton remains using an average human body weight of 150 lb.</t>
  </si>
  <si>
    <r>
      <t xml:space="preserve">The SDCAPCD's factors (Reference 8) that are based on the Point Loma WWTP raw gas content (with an assumed destruction efficiency of 98 percent) were </t>
    </r>
    <r>
      <rPr>
        <u/>
        <sz val="10"/>
        <color theme="1"/>
        <rFont val="Calibri"/>
        <family val="2"/>
        <scheme val="minor"/>
      </rPr>
      <t>added</t>
    </r>
    <r>
      <rPr>
        <sz val="10"/>
        <color theme="1"/>
        <rFont val="Calibri"/>
        <family val="2"/>
        <scheme val="minor"/>
      </rPr>
      <t xml:space="preserve"> to the VCAPCD emission factors (Reference 1) and AP-42 factors (Reference 2).  For example, the xylenes emission factor of 0.0335 lb/MMcf is equal to 0.029 lb/MMcf from Reference 1 plus 0.0045 lb/MMcf from Reference 8.  The AP-42 factors and VCAPCD factors are used to account for emissions from typical combustion in a flare.  SDCAPCD's Point Loma WWTP factors account for the additional pollutants/concentrations that are found in digester gas.</t>
    </r>
  </si>
  <si>
    <r>
      <t>Site-Specific</t>
    </r>
    <r>
      <rPr>
        <vertAlign val="superscript"/>
        <sz val="11"/>
        <color theme="1"/>
        <rFont val="Calibri"/>
        <family val="2"/>
        <scheme val="minor"/>
      </rPr>
      <t>2</t>
    </r>
  </si>
  <si>
    <t>Natural gas emission factors for propylene (Reference 2) and metals (Reference 3) were converted to propane based on a HHV of 1,020 Btu/scf for natural gas and 91,500 Btu/gal for propane.</t>
  </si>
  <si>
    <r>
      <t xml:space="preserve">San Diego County Air Pollution Control District. August 1999. </t>
    </r>
    <r>
      <rPr>
        <i/>
        <sz val="10"/>
        <rFont val="Calibri"/>
        <family val="2"/>
        <scheme val="minor"/>
      </rPr>
      <t>S03 - Fly Ash Storage Silo, Pneumatic Loading, Section 11.12 AP-42 (1/95), w/ Vent Sock Controls.</t>
    </r>
  </si>
  <si>
    <r>
      <t xml:space="preserve">San Diego County Air Pollution Control District. September 2021. </t>
    </r>
    <r>
      <rPr>
        <i/>
        <sz val="10"/>
        <color theme="1"/>
        <rFont val="Calibri"/>
        <family val="2"/>
        <scheme val="minor"/>
      </rPr>
      <t>F02 - Flares, Digester Gas Fired, Enclosed.</t>
    </r>
    <r>
      <rPr>
        <sz val="10"/>
        <color theme="1"/>
        <rFont val="Calibri"/>
        <family val="2"/>
        <scheme val="minor"/>
      </rPr>
      <t>Point Loma WWTP Only. See Note 4.</t>
    </r>
  </si>
  <si>
    <r>
      <t xml:space="preserve">San Diego County Air Pollution Control District. December 2023. </t>
    </r>
    <r>
      <rPr>
        <i/>
        <sz val="10"/>
        <color theme="1"/>
        <rFont val="Calibri"/>
        <family val="2"/>
        <scheme val="minor"/>
      </rPr>
      <t>R03 - Haul Roads, Mineral Industry Sites, Paved &amp; Unpaved, Default Trace Metal Composition.</t>
    </r>
  </si>
  <si>
    <t>https://www.sdapcd.org/content/dam/sdapcd/documents/permits/emissions-calculation/haul-road-emissions/R03-HAUL-ROADS-MINERAL-INDUSTRY-SITES.pdf</t>
  </si>
  <si>
    <r>
      <t xml:space="preserve">San Diego County Air Pollution Control District. December 2023. </t>
    </r>
    <r>
      <rPr>
        <i/>
        <sz val="10"/>
        <rFont val="Calibri"/>
        <family val="2"/>
        <scheme val="minor"/>
      </rPr>
      <t>N02 - Landfill Gas Default Composition (No Co-Disposal).</t>
    </r>
    <r>
      <rPr>
        <sz val="10"/>
        <rFont val="Calibri"/>
        <family val="2"/>
        <scheme val="minor"/>
      </rPr>
      <t>Includes Haul Road Sampling Results</t>
    </r>
  </si>
  <si>
    <t>https://www.sdapcd.org/content/dam/sdapcd/documents/permits/emissions-calculation/landfill/N02-A01-LANDFILL-GAS-DEFAULT-COMPOSITION-NO-CO-DISPOSAL.pdf</t>
  </si>
  <si>
    <r>
      <t xml:space="preserve">San Diego County Air Pollution Control District. November 2023. </t>
    </r>
    <r>
      <rPr>
        <i/>
        <sz val="10"/>
        <color theme="1"/>
        <rFont val="Calibri"/>
        <family val="2"/>
        <scheme val="minor"/>
      </rPr>
      <t>O01 - Open Material Storage Areas, General, District Engineering Estimate, Includes 'Natural Moisture Content of Soils'.</t>
    </r>
  </si>
  <si>
    <t>https://www.sdapcd.org/content/dam/sdapcd/documents/permits/emissions-calculation/mineral-products-industry-open-material-storage-piles/O01-OPEN-MATERIAL-AREAS-GENERAL.pdf.</t>
  </si>
  <si>
    <r>
      <t xml:space="preserve">San Diego County Air Pollution Control District. November 2023. </t>
    </r>
    <r>
      <rPr>
        <i/>
        <sz val="10"/>
        <color theme="1"/>
        <rFont val="Calibri"/>
        <family val="2"/>
        <scheme val="minor"/>
      </rPr>
      <t>T01 - Transfer Point, Process Material, Dry, Uncontrolled, AWR / MPI / District 4/9/96 Methodology.</t>
    </r>
  </si>
  <si>
    <r>
      <t xml:space="preserve">San Diego County Air Pollution Control District. November 2023. </t>
    </r>
    <r>
      <rPr>
        <i/>
        <sz val="10"/>
        <color theme="1"/>
        <rFont val="Calibri"/>
        <family val="2"/>
        <scheme val="minor"/>
      </rPr>
      <t>S01 - Screening Operation, Process Material, Dry, Uncontrolled, AWR / MPI / District 4/9/96 Methodology.</t>
    </r>
  </si>
  <si>
    <t>https://www.sdapcd.org/content/dam/sdapcd/documents/permits/emissions-calculation/mineral-products-industry-aggregate-transfer-point/O27-T01-Process-Dry-Uncontrolled.pdf</t>
  </si>
  <si>
    <t>https://www.sdapcd.org/content/dam/sdapcd/documents/permits/emissions-calculation/mineral-products-industry-aggregate-screening/O21-S01-Process-Dry-Uncontrolled.pdf</t>
  </si>
  <si>
    <r>
      <t xml:space="preserve">San Diego County Air Pollution Control District. November 2023. </t>
    </r>
    <r>
      <rPr>
        <i/>
        <sz val="10"/>
        <color theme="1"/>
        <rFont val="Calibri"/>
        <family val="2"/>
        <scheme val="minor"/>
      </rPr>
      <t>C01 - Primary Crushing, Primary Material, Uncontrolled.</t>
    </r>
  </si>
  <si>
    <t>https://www.sdapcd.org/content/dam/sdapcd/documents/permits/emissions-calculation/mineral-products-industry-aggregate-crusher/O11-C01-Primary-Crushing-Primary-Material-Uncontrolled.pdf</t>
  </si>
  <si>
    <r>
      <t>lb/lb-TOC</t>
    </r>
    <r>
      <rPr>
        <vertAlign val="superscript"/>
        <sz val="11"/>
        <color theme="1"/>
        <rFont val="Calibri"/>
        <family val="2"/>
        <scheme val="minor"/>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</si>
</sst>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0"/>
    <numFmt numFmtId="165" formatCode="0.0000"/>
    <numFmt numFmtId="166" formatCode="0.00000"/>
    <numFmt numFmtId="167" formatCode="0.000000"/>
    <numFmt numFmtId="168" formatCode="0.00000000"/>
    <numFmt numFmtId="169" formatCode="0.0000000"/>
    <numFmt numFmtId="170" formatCode="0.000000000"/>
    <numFmt numFmtId="171" formatCode="0.000E+00"/>
    <numFmt numFmtId="172" formatCode="0.0000E+00"/>
    <numFmt numFmtId="173" formatCode="0.00000E+00"/>
    <numFmt numFmtId="174" formatCode="0.0E+00"/>
    <numFmt numFmtId="175" formatCode="0.0"/>
  </numFmts>
  <fonts count="42" x14ac:knownFonts="1">
    <font>
      <sz val="11"/>
      <color theme="1"/>
      <name val="Calibri"/>
      <family val="2"/>
      <scheme val="minor"/>
    </font>
    <font>
      <b/>
      <sz val="11"/>
      <color theme="1"/>
      <name val="Calibri"/>
      <family val="2"/>
      <scheme val="minor"/>
    </font>
    <font>
      <sz val="11"/>
      <color rgb="FF000000"/>
      <name val="Calibri"/>
      <family val="2"/>
      <scheme val="minor"/>
    </font>
    <font>
      <b/>
      <sz val="16"/>
      <name val="Calibri"/>
      <family val="2"/>
    </font>
    <font>
      <b/>
      <sz val="16"/>
      <color theme="1"/>
      <name val="Calibri"/>
      <family val="2"/>
      <scheme val="minor"/>
    </font>
    <font>
      <b/>
      <sz val="12"/>
      <color theme="1"/>
      <name val="Calibri"/>
      <family val="2"/>
      <scheme val="minor"/>
    </font>
    <font>
      <b/>
      <sz val="11"/>
      <name val="Calibri"/>
      <family val="2"/>
    </font>
    <font>
      <sz val="11"/>
      <name val="Calibri"/>
      <family val="2"/>
    </font>
    <font>
      <u/>
      <sz val="11"/>
      <color theme="10"/>
      <name val="Calibri"/>
      <family val="2"/>
      <scheme val="minor"/>
    </font>
    <font>
      <b/>
      <sz val="24"/>
      <color theme="1"/>
      <name val="Calibri"/>
      <family val="2"/>
      <scheme val="minor"/>
    </font>
    <font>
      <sz val="11"/>
      <name val="Calibri"/>
      <family val="2"/>
    </font>
    <font>
      <vertAlign val="superscript"/>
      <sz val="11"/>
      <color theme="1"/>
      <name val="Calibri"/>
      <family val="2"/>
      <scheme val="minor"/>
    </font>
    <font>
      <sz val="11"/>
      <color rgb="FFFF0000"/>
      <name val="Calibri"/>
      <family val="2"/>
      <scheme val="minor"/>
    </font>
    <font>
      <b/>
      <sz val="22"/>
      <color theme="1"/>
      <name val="Calibri"/>
      <family val="2"/>
      <scheme val="minor"/>
    </font>
    <font>
      <sz val="11"/>
      <color theme="1"/>
      <name val="Calibri"/>
      <family val="2"/>
      <scheme val="minor"/>
    </font>
    <font>
      <sz val="11"/>
      <name val="Arial"/>
      <family val="2"/>
    </font>
    <font>
      <sz val="11"/>
      <color theme="1"/>
      <name val="Arial"/>
      <family val="2"/>
    </font>
    <font>
      <sz val="11"/>
      <name val="Calibri"/>
      <family val="2"/>
      <scheme val="minor"/>
    </font>
    <font>
      <b/>
      <sz val="12"/>
      <name val="Calibri"/>
      <family val="2"/>
    </font>
    <font>
      <u/>
      <sz val="10"/>
      <name val="Calibri"/>
      <family val="2"/>
    </font>
    <font>
      <sz val="10"/>
      <color theme="1"/>
      <name val="Calibri"/>
      <family val="2"/>
      <scheme val="minor"/>
    </font>
    <font>
      <u/>
      <sz val="10"/>
      <color theme="10"/>
      <name val="Calibri"/>
      <family val="2"/>
      <scheme val="minor"/>
    </font>
    <font>
      <sz val="10"/>
      <name val="Calibri"/>
      <family val="2"/>
    </font>
    <font>
      <u/>
      <sz val="10"/>
      <color theme="1"/>
      <name val="Calibri"/>
      <family val="2"/>
      <scheme val="minor"/>
    </font>
    <font>
      <i/>
      <sz val="10"/>
      <color theme="1"/>
      <name val="Calibri"/>
      <family val="2"/>
      <scheme val="minor"/>
    </font>
    <font>
      <vertAlign val="superscript"/>
      <sz val="11"/>
      <name val="Calibri"/>
      <family val="2"/>
    </font>
    <font>
      <sz val="10"/>
      <name val="Calibri"/>
      <family val="2"/>
      <scheme val="minor"/>
    </font>
    <font>
      <sz val="10"/>
      <color rgb="FFFF0000"/>
      <name val="Calibri"/>
      <family val="2"/>
      <scheme val="minor"/>
    </font>
    <font>
      <i/>
      <sz val="10"/>
      <name val="Calibri"/>
      <family val="2"/>
      <scheme val="minor"/>
    </font>
    <font>
      <b/>
      <vertAlign val="superscript"/>
      <sz val="12"/>
      <color theme="1"/>
      <name val="Calibri"/>
      <family val="2"/>
      <scheme val="minor"/>
    </font>
    <font>
      <sz val="11"/>
      <color rgb="FFC00000"/>
      <name val="Calibri"/>
      <family val="2"/>
    </font>
    <font>
      <i/>
      <sz val="11"/>
      <name val="Calibri"/>
      <family val="2"/>
    </font>
    <font>
      <b/>
      <sz val="16"/>
      <name val="Calibri"/>
      <family val="2"/>
      <scheme val="minor"/>
    </font>
    <font>
      <b/>
      <sz val="11"/>
      <name val="Calibri"/>
      <family val="2"/>
      <scheme val="minor"/>
    </font>
    <font>
      <vertAlign val="superscript"/>
      <sz val="11"/>
      <name val="Calibri"/>
      <family val="2"/>
      <scheme val="minor"/>
    </font>
    <font>
      <sz val="11"/>
      <color theme="9"/>
      <name val="Calibri"/>
      <family val="2"/>
      <scheme val="minor"/>
    </font>
    <font>
      <sz val="10"/>
      <color theme="9"/>
      <name val="Calibri"/>
      <family val="2"/>
      <scheme val="minor"/>
    </font>
    <font>
      <u/>
      <sz val="10"/>
      <color theme="9"/>
      <name val="Calibri"/>
      <family val="2"/>
      <scheme val="minor"/>
    </font>
    <font>
      <u/>
      <sz val="10"/>
      <name val="Calibri"/>
      <family val="2"/>
      <scheme val="minor"/>
    </font>
    <font>
      <i/>
      <sz val="10"/>
      <name val="Calibri"/>
      <family val="2"/>
    </font>
    <font>
      <i/>
      <u/>
      <sz val="10"/>
      <color theme="10"/>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0" fontId="2" fillId="0" borderId="0"/>
    <xf numFmtId="0" fontId="8" fillId="0" borderId="0" applyNumberFormat="0" applyFill="0" applyBorder="0" applyAlignment="0" applyProtection="0"/>
  </cellStyleXfs>
  <cellXfs count="584">
    <xf numFmtId="0" fontId="0" fillId="0" borderId="0" xfId="0"/>
    <xf numFmtId="0" fontId="5" fillId="2" borderId="2" xfId="0" applyFont="1" applyFill="1" applyBorder="1" applyAlignment="1">
      <alignment horizontal="center"/>
    </xf>
    <xf numFmtId="0" fontId="5" fillId="2" borderId="3" xfId="0" applyFont="1" applyFill="1" applyBorder="1" applyAlignment="1">
      <alignment horizontal="center"/>
    </xf>
    <xf numFmtId="0" fontId="0" fillId="2" borderId="5" xfId="0" applyFill="1" applyBorder="1"/>
    <xf numFmtId="0" fontId="0" fillId="2" borderId="6" xfId="0" applyFill="1" applyBorder="1"/>
    <xf numFmtId="0" fontId="1" fillId="2" borderId="5" xfId="0" applyFont="1" applyFill="1" applyBorder="1" applyAlignment="1">
      <alignment horizontal="center"/>
    </xf>
    <xf numFmtId="0" fontId="1" fillId="2" borderId="6" xfId="0" applyFont="1" applyFill="1" applyBorder="1" applyAlignment="1">
      <alignment horizontal="center"/>
    </xf>
    <xf numFmtId="0" fontId="7" fillId="2" borderId="3" xfId="1" applyFont="1" applyFill="1" applyBorder="1"/>
    <xf numFmtId="0" fontId="0" fillId="2" borderId="0" xfId="0" applyFill="1"/>
    <xf numFmtId="0" fontId="7" fillId="2" borderId="0" xfId="1" applyFont="1" applyFill="1" applyAlignment="1">
      <alignment horizontal="center"/>
    </xf>
    <xf numFmtId="0" fontId="7" fillId="2" borderId="4" xfId="1" applyFont="1" applyFill="1" applyBorder="1"/>
    <xf numFmtId="0" fontId="7" fillId="2" borderId="5" xfId="1" applyFont="1" applyFill="1" applyBorder="1" applyAlignment="1">
      <alignment horizontal="center"/>
    </xf>
    <xf numFmtId="0" fontId="7" fillId="2" borderId="6" xfId="1" applyFont="1" applyFill="1" applyBorder="1"/>
    <xf numFmtId="0" fontId="7" fillId="2" borderId="2" xfId="1" applyFont="1" applyFill="1" applyBorder="1" applyAlignment="1">
      <alignment horizontal="center"/>
    </xf>
    <xf numFmtId="0" fontId="0" fillId="2" borderId="7" xfId="0" applyFill="1" applyBorder="1"/>
    <xf numFmtId="0" fontId="0" fillId="2" borderId="4" xfId="0" applyFill="1" applyBorder="1"/>
    <xf numFmtId="0" fontId="7" fillId="2" borderId="0" xfId="1" applyFont="1" applyFill="1"/>
    <xf numFmtId="0" fontId="0" fillId="2" borderId="0" xfId="0" quotePrefix="1" applyFill="1" applyAlignment="1">
      <alignment horizontal="center"/>
    </xf>
    <xf numFmtId="0" fontId="6" fillId="2" borderId="7" xfId="1" applyFont="1" applyFill="1" applyBorder="1"/>
    <xf numFmtId="0" fontId="0" fillId="2" borderId="2" xfId="0" applyFill="1" applyBorder="1"/>
    <xf numFmtId="0" fontId="0" fillId="2" borderId="3" xfId="0" applyFill="1" applyBorder="1"/>
    <xf numFmtId="0" fontId="0" fillId="2" borderId="8" xfId="0" applyFill="1" applyBorder="1"/>
    <xf numFmtId="0" fontId="1" fillId="2" borderId="0" xfId="0" applyFont="1" applyFill="1" applyAlignment="1">
      <alignment horizontal="center"/>
    </xf>
    <xf numFmtId="166" fontId="0" fillId="2" borderId="0" xfId="0" quotePrefix="1" applyNumberFormat="1" applyFill="1" applyAlignment="1">
      <alignment horizontal="center"/>
    </xf>
    <xf numFmtId="0" fontId="0" fillId="2" borderId="0" xfId="0" applyFill="1" applyAlignment="1">
      <alignment horizontal="center"/>
    </xf>
    <xf numFmtId="0" fontId="5" fillId="0" borderId="0" xfId="0" applyFont="1" applyAlignment="1">
      <alignment horizontal="center"/>
    </xf>
    <xf numFmtId="0" fontId="1" fillId="0" borderId="0" xfId="0" applyFont="1" applyAlignment="1">
      <alignment horizontal="center"/>
    </xf>
    <xf numFmtId="0" fontId="6" fillId="2" borderId="0" xfId="1" applyFont="1" applyFill="1"/>
    <xf numFmtId="0" fontId="0" fillId="0" borderId="8" xfId="0" applyBorder="1"/>
    <xf numFmtId="0" fontId="10" fillId="2" borderId="0" xfId="0" applyFont="1" applyFill="1"/>
    <xf numFmtId="0" fontId="10" fillId="2" borderId="7" xfId="0" applyFont="1" applyFill="1" applyBorder="1"/>
    <xf numFmtId="0" fontId="10" fillId="2" borderId="0" xfId="0" applyFont="1" applyFill="1" applyAlignment="1">
      <alignment horizontal="center"/>
    </xf>
    <xf numFmtId="0" fontId="0" fillId="0" borderId="0" xfId="0" applyAlignment="1">
      <alignment horizontal="center"/>
    </xf>
    <xf numFmtId="0" fontId="6" fillId="2" borderId="4" xfId="1" applyFont="1" applyFill="1" applyBorder="1"/>
    <xf numFmtId="0" fontId="0" fillId="0" borderId="0" xfId="0" applyAlignment="1">
      <alignment horizontal="left"/>
    </xf>
    <xf numFmtId="0" fontId="0" fillId="0" borderId="0" xfId="0" applyAlignment="1">
      <alignment horizontal="right"/>
    </xf>
    <xf numFmtId="0" fontId="14" fillId="2" borderId="0" xfId="0" applyFont="1" applyFill="1"/>
    <xf numFmtId="11" fontId="16" fillId="0" borderId="0" xfId="0" applyNumberFormat="1" applyFont="1" applyAlignment="1">
      <alignment horizontal="center"/>
    </xf>
    <xf numFmtId="0" fontId="6" fillId="2" borderId="7" xfId="1" applyFont="1" applyFill="1" applyBorder="1" applyAlignment="1">
      <alignment horizontal="left"/>
    </xf>
    <xf numFmtId="11" fontId="0" fillId="2" borderId="0" xfId="0" applyNumberFormat="1" applyFill="1"/>
    <xf numFmtId="0" fontId="17" fillId="0" borderId="0" xfId="0" quotePrefix="1" applyFont="1" applyAlignment="1">
      <alignment horizontal="center"/>
    </xf>
    <xf numFmtId="0" fontId="7" fillId="0" borderId="0" xfId="1" applyFont="1" applyAlignment="1">
      <alignment horizontal="center"/>
    </xf>
    <xf numFmtId="0" fontId="7" fillId="2" borderId="7" xfId="1" applyFont="1" applyFill="1" applyBorder="1" applyAlignment="1">
      <alignment horizontal="left"/>
    </xf>
    <xf numFmtId="0" fontId="14" fillId="0" borderId="0" xfId="0" applyFont="1"/>
    <xf numFmtId="17" fontId="0" fillId="0" borderId="0" xfId="0" applyNumberFormat="1"/>
    <xf numFmtId="0" fontId="0" fillId="0" borderId="7" xfId="0" applyBorder="1"/>
    <xf numFmtId="0" fontId="10" fillId="2" borderId="4" xfId="0" applyFont="1" applyFill="1" applyBorder="1"/>
    <xf numFmtId="0" fontId="10" fillId="2" borderId="5" xfId="0" applyFont="1" applyFill="1" applyBorder="1" applyAlignment="1">
      <alignment horizontal="center"/>
    </xf>
    <xf numFmtId="0" fontId="10" fillId="2" borderId="6" xfId="0" applyFont="1" applyFill="1" applyBorder="1"/>
    <xf numFmtId="0" fontId="0" fillId="2" borderId="5" xfId="0" applyFill="1" applyBorder="1" applyAlignment="1">
      <alignment horizontal="center"/>
    </xf>
    <xf numFmtId="0" fontId="7" fillId="2" borderId="0" xfId="1" applyFont="1" applyFill="1" applyAlignment="1">
      <alignment horizontal="left" indent="3"/>
    </xf>
    <xf numFmtId="0" fontId="1" fillId="2" borderId="2" xfId="0" applyFont="1" applyFill="1" applyBorder="1" applyAlignment="1">
      <alignment horizontal="center"/>
    </xf>
    <xf numFmtId="0" fontId="0" fillId="2" borderId="8" xfId="0" quotePrefix="1" applyFill="1" applyBorder="1" applyAlignment="1">
      <alignment horizontal="center"/>
    </xf>
    <xf numFmtId="0" fontId="0" fillId="2" borderId="5" xfId="0" quotePrefix="1" applyFill="1" applyBorder="1" applyAlignment="1">
      <alignment horizontal="center"/>
    </xf>
    <xf numFmtId="0" fontId="0" fillId="0" borderId="7" xfId="0" applyBorder="1" applyAlignment="1">
      <alignment horizontal="center"/>
    </xf>
    <xf numFmtId="0" fontId="0" fillId="2" borderId="3" xfId="0" applyFill="1" applyBorder="1" applyAlignment="1">
      <alignment horizontal="center"/>
    </xf>
    <xf numFmtId="0" fontId="0" fillId="2" borderId="6" xfId="0" applyFill="1" applyBorder="1" applyAlignment="1">
      <alignment horizontal="center"/>
    </xf>
    <xf numFmtId="0" fontId="0" fillId="2" borderId="2" xfId="0" quotePrefix="1" applyFill="1" applyBorder="1" applyAlignment="1">
      <alignment horizontal="center"/>
    </xf>
    <xf numFmtId="0" fontId="0" fillId="0" borderId="5" xfId="0" applyBorder="1" applyAlignment="1">
      <alignment horizontal="center"/>
    </xf>
    <xf numFmtId="0" fontId="0" fillId="0" borderId="2" xfId="0" applyBorder="1" applyAlignment="1">
      <alignment horizontal="center"/>
    </xf>
    <xf numFmtId="165" fontId="0" fillId="2" borderId="0" xfId="0" quotePrefix="1" applyNumberFormat="1" applyFill="1" applyAlignment="1">
      <alignment horizontal="center"/>
    </xf>
    <xf numFmtId="0" fontId="0" fillId="2" borderId="7" xfId="0" applyFill="1" applyBorder="1" applyAlignment="1">
      <alignment horizontal="left" indent="3"/>
    </xf>
    <xf numFmtId="0" fontId="0" fillId="2" borderId="4" xfId="0" applyFill="1" applyBorder="1" applyAlignment="1">
      <alignment horizontal="left" indent="3"/>
    </xf>
    <xf numFmtId="0" fontId="6" fillId="2" borderId="7" xfId="1" applyFont="1" applyFill="1" applyBorder="1" applyAlignment="1">
      <alignment horizontal="left" indent="3"/>
    </xf>
    <xf numFmtId="0" fontId="7" fillId="2" borderId="7" xfId="1" applyFont="1" applyFill="1" applyBorder="1" applyAlignment="1">
      <alignment horizontal="left" indent="3"/>
    </xf>
    <xf numFmtId="0" fontId="7" fillId="2" borderId="4" xfId="1" applyFont="1" applyFill="1" applyBorder="1" applyAlignment="1">
      <alignment horizontal="left" indent="3"/>
    </xf>
    <xf numFmtId="0" fontId="20" fillId="2" borderId="0" xfId="0" applyFont="1" applyFill="1"/>
    <xf numFmtId="0" fontId="5" fillId="3" borderId="2" xfId="0" applyFont="1" applyFill="1" applyBorder="1" applyAlignment="1">
      <alignment horizontal="center"/>
    </xf>
    <xf numFmtId="0" fontId="1" fillId="3" borderId="2" xfId="0" applyFont="1" applyFill="1" applyBorder="1" applyAlignment="1">
      <alignment horizontal="center"/>
    </xf>
    <xf numFmtId="0" fontId="0" fillId="3" borderId="0" xfId="0" quotePrefix="1" applyFill="1" applyAlignment="1">
      <alignment horizontal="center"/>
    </xf>
    <xf numFmtId="0" fontId="0" fillId="3" borderId="5" xfId="0" applyFill="1" applyBorder="1"/>
    <xf numFmtId="0" fontId="0" fillId="3" borderId="2" xfId="0" applyFill="1" applyBorder="1"/>
    <xf numFmtId="0" fontId="5" fillId="3" borderId="3" xfId="0" applyFont="1" applyFill="1" applyBorder="1" applyAlignment="1">
      <alignment horizontal="center"/>
    </xf>
    <xf numFmtId="0" fontId="1" fillId="3" borderId="3" xfId="0" applyFont="1" applyFill="1" applyBorder="1" applyAlignment="1">
      <alignment horizontal="center"/>
    </xf>
    <xf numFmtId="0" fontId="1" fillId="3" borderId="8" xfId="0" quotePrefix="1" applyFont="1" applyFill="1" applyBorder="1" applyAlignment="1">
      <alignment horizontal="center"/>
    </xf>
    <xf numFmtId="0" fontId="0" fillId="3" borderId="6" xfId="0" applyFill="1" applyBorder="1"/>
    <xf numFmtId="0" fontId="0" fillId="3" borderId="3" xfId="0" applyFill="1" applyBorder="1"/>
    <xf numFmtId="0" fontId="0" fillId="3" borderId="8" xfId="0" quotePrefix="1" applyFill="1" applyBorder="1" applyAlignment="1">
      <alignment horizontal="center"/>
    </xf>
    <xf numFmtId="0" fontId="1" fillId="3" borderId="5" xfId="0" applyFont="1" applyFill="1" applyBorder="1" applyAlignment="1">
      <alignment horizontal="center"/>
    </xf>
    <xf numFmtId="0" fontId="13" fillId="0" borderId="0" xfId="0" applyFont="1" applyAlignment="1">
      <alignment horizontal="center"/>
    </xf>
    <xf numFmtId="0" fontId="0" fillId="2"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2" borderId="1" xfId="0" applyFill="1" applyBorder="1" applyAlignment="1">
      <alignment horizontal="center"/>
    </xf>
    <xf numFmtId="0" fontId="0" fillId="3" borderId="2" xfId="0" applyFill="1" applyBorder="1" applyAlignment="1">
      <alignment horizontal="center"/>
    </xf>
    <xf numFmtId="0" fontId="0" fillId="2" borderId="2" xfId="0" applyFill="1" applyBorder="1" applyAlignment="1">
      <alignment horizontal="center"/>
    </xf>
    <xf numFmtId="0" fontId="0" fillId="3" borderId="3" xfId="0" applyFill="1" applyBorder="1" applyAlignment="1">
      <alignment horizontal="center"/>
    </xf>
    <xf numFmtId="0" fontId="7" fillId="2" borderId="5" xfId="1" applyFont="1" applyFill="1" applyBorder="1" applyAlignment="1">
      <alignment horizontal="left" indent="3"/>
    </xf>
    <xf numFmtId="0" fontId="7" fillId="2" borderId="2" xfId="1" applyFont="1" applyFill="1" applyBorder="1" applyAlignment="1">
      <alignment horizontal="left" indent="3"/>
    </xf>
    <xf numFmtId="0" fontId="8" fillId="2" borderId="4" xfId="2" applyFill="1" applyBorder="1" applyAlignment="1">
      <alignment horizontal="center"/>
    </xf>
    <xf numFmtId="0" fontId="8" fillId="2" borderId="7" xfId="2" applyFill="1" applyBorder="1" applyAlignment="1">
      <alignment horizontal="center"/>
    </xf>
    <xf numFmtId="0" fontId="1" fillId="3" borderId="6" xfId="0" applyFont="1" applyFill="1" applyBorder="1" applyAlignment="1">
      <alignment horizontal="center"/>
    </xf>
    <xf numFmtId="164" fontId="0" fillId="2" borderId="0" xfId="0" quotePrefix="1" applyNumberFormat="1" applyFill="1" applyAlignment="1">
      <alignment horizontal="center"/>
    </xf>
    <xf numFmtId="2" fontId="0" fillId="2" borderId="0" xfId="0" quotePrefix="1" applyNumberFormat="1" applyFill="1" applyAlignment="1">
      <alignment horizontal="center"/>
    </xf>
    <xf numFmtId="169" fontId="0" fillId="2" borderId="0" xfId="0" quotePrefix="1" applyNumberFormat="1" applyFill="1" applyAlignment="1">
      <alignment horizontal="center"/>
    </xf>
    <xf numFmtId="11" fontId="0" fillId="2" borderId="0" xfId="0" quotePrefix="1" applyNumberFormat="1" applyFill="1" applyAlignment="1">
      <alignment horizontal="center"/>
    </xf>
    <xf numFmtId="0" fontId="0" fillId="3" borderId="0" xfId="0" applyFill="1"/>
    <xf numFmtId="0" fontId="0" fillId="3" borderId="0" xfId="0" applyFill="1" applyAlignment="1">
      <alignment horizontal="center"/>
    </xf>
    <xf numFmtId="165" fontId="0" fillId="3" borderId="0" xfId="0" quotePrefix="1" applyNumberFormat="1" applyFill="1" applyAlignment="1">
      <alignment horizontal="center"/>
    </xf>
    <xf numFmtId="0" fontId="0" fillId="3" borderId="5" xfId="0" quotePrefix="1" applyFill="1" applyBorder="1" applyAlignment="1">
      <alignment horizontal="center"/>
    </xf>
    <xf numFmtId="0" fontId="8" fillId="2" borderId="1" xfId="2" applyFill="1" applyBorder="1" applyAlignment="1">
      <alignment horizontal="center"/>
    </xf>
    <xf numFmtId="0" fontId="0" fillId="3" borderId="2" xfId="0" quotePrefix="1" applyFill="1" applyBorder="1" applyAlignment="1">
      <alignment horizontal="center"/>
    </xf>
    <xf numFmtId="166" fontId="0" fillId="2" borderId="2" xfId="0" quotePrefix="1" applyNumberFormat="1" applyFill="1" applyBorder="1" applyAlignment="1">
      <alignment horizontal="center"/>
    </xf>
    <xf numFmtId="165" fontId="0" fillId="2" borderId="2" xfId="0" quotePrefix="1" applyNumberFormat="1" applyFill="1" applyBorder="1" applyAlignment="1">
      <alignment horizontal="center"/>
    </xf>
    <xf numFmtId="166" fontId="0" fillId="2" borderId="5" xfId="0" quotePrefix="1" applyNumberFormat="1" applyFill="1" applyBorder="1" applyAlignment="1">
      <alignment horizontal="center"/>
    </xf>
    <xf numFmtId="165" fontId="0" fillId="2" borderId="5" xfId="0" quotePrefix="1" applyNumberFormat="1" applyFill="1" applyBorder="1" applyAlignment="1">
      <alignment horizontal="center"/>
    </xf>
    <xf numFmtId="0" fontId="12" fillId="0" borderId="5" xfId="0" quotePrefix="1" applyFont="1" applyBorder="1" applyAlignment="1">
      <alignment horizontal="center"/>
    </xf>
    <xf numFmtId="0" fontId="10" fillId="2" borderId="0" xfId="1" applyFont="1" applyFill="1" applyAlignment="1">
      <alignment horizontal="left" indent="14"/>
    </xf>
    <xf numFmtId="0" fontId="0" fillId="2" borderId="0" xfId="0" applyFill="1" applyAlignment="1">
      <alignment horizontal="left" indent="24"/>
    </xf>
    <xf numFmtId="0" fontId="0" fillId="3" borderId="6" xfId="0" quotePrefix="1" applyFill="1" applyBorder="1" applyAlignment="1">
      <alignment horizontal="center"/>
    </xf>
    <xf numFmtId="0" fontId="0" fillId="3" borderId="3" xfId="0" quotePrefix="1" applyFill="1" applyBorder="1" applyAlignment="1">
      <alignment horizontal="center"/>
    </xf>
    <xf numFmtId="166" fontId="0" fillId="3" borderId="0" xfId="0" quotePrefix="1" applyNumberFormat="1" applyFill="1" applyAlignment="1">
      <alignment horizontal="center"/>
    </xf>
    <xf numFmtId="0" fontId="0" fillId="3" borderId="8" xfId="0" applyFill="1" applyBorder="1"/>
    <xf numFmtId="0" fontId="0" fillId="3" borderId="8" xfId="0" applyFill="1" applyBorder="1" applyAlignment="1">
      <alignment horizontal="center"/>
    </xf>
    <xf numFmtId="165" fontId="0" fillId="3" borderId="8" xfId="0" quotePrefix="1" applyNumberFormat="1" applyFill="1" applyBorder="1" applyAlignment="1">
      <alignment horizontal="center"/>
    </xf>
    <xf numFmtId="167" fontId="0" fillId="3" borderId="0" xfId="0" quotePrefix="1" applyNumberFormat="1" applyFill="1" applyAlignment="1">
      <alignment horizontal="center"/>
    </xf>
    <xf numFmtId="0" fontId="6" fillId="2" borderId="7" xfId="1" applyFont="1" applyFill="1" applyBorder="1" applyAlignment="1">
      <alignment horizontal="left" indent="2"/>
    </xf>
    <xf numFmtId="0" fontId="6" fillId="2" borderId="1" xfId="1" applyFont="1" applyFill="1" applyBorder="1" applyAlignment="1">
      <alignment horizontal="left" indent="2"/>
    </xf>
    <xf numFmtId="0" fontId="7" fillId="2" borderId="0" xfId="1" applyFont="1" applyFill="1" applyAlignment="1">
      <alignment horizontal="left" indent="2"/>
    </xf>
    <xf numFmtId="0" fontId="10" fillId="2" borderId="0" xfId="1" applyFont="1" applyFill="1" applyAlignment="1">
      <alignment horizontal="left" indent="2"/>
    </xf>
    <xf numFmtId="0" fontId="19" fillId="2" borderId="0" xfId="1" applyFont="1" applyFill="1" applyAlignment="1">
      <alignment horizontal="left" vertical="center" indent="2"/>
    </xf>
    <xf numFmtId="0" fontId="20" fillId="2" borderId="0" xfId="0" applyFont="1" applyFill="1" applyAlignment="1">
      <alignment horizontal="left" indent="2"/>
    </xf>
    <xf numFmtId="0" fontId="0" fillId="2" borderId="0" xfId="0" applyFill="1" applyAlignment="1">
      <alignment horizontal="left" indent="2"/>
    </xf>
    <xf numFmtId="0" fontId="1" fillId="2" borderId="1" xfId="0" applyFont="1" applyFill="1" applyBorder="1" applyAlignment="1">
      <alignment horizontal="left" indent="2"/>
    </xf>
    <xf numFmtId="0" fontId="0" fillId="2" borderId="7" xfId="0" applyFill="1" applyBorder="1" applyAlignment="1">
      <alignment horizontal="left" indent="2"/>
    </xf>
    <xf numFmtId="0" fontId="0" fillId="2" borderId="4" xfId="0" applyFill="1" applyBorder="1" applyAlignment="1">
      <alignment horizontal="left" indent="2"/>
    </xf>
    <xf numFmtId="0" fontId="7" fillId="2" borderId="7" xfId="1" applyFont="1" applyFill="1" applyBorder="1" applyAlignment="1">
      <alignment horizontal="left" indent="2"/>
    </xf>
    <xf numFmtId="0" fontId="7" fillId="2" borderId="4" xfId="1" applyFont="1" applyFill="1" applyBorder="1" applyAlignment="1">
      <alignment horizontal="left" indent="2"/>
    </xf>
    <xf numFmtId="0" fontId="0" fillId="0" borderId="7" xfId="0" applyBorder="1" applyAlignment="1">
      <alignment horizontal="left" indent="2"/>
    </xf>
    <xf numFmtId="0" fontId="7" fillId="0" borderId="0" xfId="1" applyFont="1" applyAlignment="1">
      <alignment horizontal="left" indent="2"/>
    </xf>
    <xf numFmtId="0" fontId="7" fillId="2" borderId="2" xfId="1" applyFont="1" applyFill="1" applyBorder="1" applyAlignment="1">
      <alignment horizontal="left" indent="2"/>
    </xf>
    <xf numFmtId="0" fontId="7" fillId="2" borderId="5" xfId="1" applyFont="1" applyFill="1" applyBorder="1" applyAlignment="1">
      <alignment horizontal="left" indent="2"/>
    </xf>
    <xf numFmtId="0" fontId="0" fillId="2" borderId="5" xfId="0" applyFill="1" applyBorder="1" applyAlignment="1">
      <alignment horizontal="left" indent="2"/>
    </xf>
    <xf numFmtId="0" fontId="0" fillId="2" borderId="2" xfId="0" applyFill="1" applyBorder="1" applyAlignment="1">
      <alignment horizontal="left" indent="2"/>
    </xf>
    <xf numFmtId="0" fontId="17" fillId="0" borderId="7" xfId="0" applyFont="1" applyBorder="1" applyAlignment="1">
      <alignment horizontal="center"/>
    </xf>
    <xf numFmtId="11" fontId="0" fillId="3" borderId="0" xfId="0" quotePrefix="1" applyNumberFormat="1" applyFill="1" applyAlignment="1">
      <alignment horizontal="center"/>
    </xf>
    <xf numFmtId="0" fontId="20" fillId="2" borderId="0" xfId="0" applyFont="1" applyFill="1" applyAlignment="1">
      <alignment vertical="center" wrapText="1"/>
    </xf>
    <xf numFmtId="165" fontId="0" fillId="0" borderId="0" xfId="0" quotePrefix="1" applyNumberFormat="1" applyAlignment="1">
      <alignment horizontal="center"/>
    </xf>
    <xf numFmtId="0" fontId="0" fillId="0" borderId="0" xfId="0" quotePrefix="1" applyAlignment="1">
      <alignment horizontal="center"/>
    </xf>
    <xf numFmtId="0" fontId="7" fillId="2" borderId="8" xfId="1" applyFont="1" applyFill="1" applyBorder="1" applyAlignment="1">
      <alignment horizontal="left" indent="2"/>
    </xf>
    <xf numFmtId="0" fontId="10" fillId="2" borderId="8" xfId="1" applyFont="1" applyFill="1" applyBorder="1" applyAlignment="1">
      <alignment horizontal="left" indent="2"/>
    </xf>
    <xf numFmtId="0" fontId="7" fillId="0" borderId="8" xfId="1" applyFont="1" applyBorder="1" applyAlignment="1">
      <alignment horizontal="left" indent="2"/>
    </xf>
    <xf numFmtId="0" fontId="5" fillId="3" borderId="1" xfId="0" applyFont="1" applyFill="1" applyBorder="1" applyAlignment="1">
      <alignment horizontal="center"/>
    </xf>
    <xf numFmtId="0" fontId="1" fillId="3" borderId="4" xfId="0" applyFont="1" applyFill="1" applyBorder="1" applyAlignment="1">
      <alignment horizontal="center"/>
    </xf>
    <xf numFmtId="0" fontId="17" fillId="2" borderId="7" xfId="2" applyFont="1" applyFill="1" applyBorder="1" applyAlignment="1">
      <alignment horizontal="center"/>
    </xf>
    <xf numFmtId="0" fontId="0" fillId="0" borderId="6" xfId="0" applyBorder="1"/>
    <xf numFmtId="164" fontId="0" fillId="2" borderId="2" xfId="0" quotePrefix="1" applyNumberFormat="1" applyFill="1" applyBorder="1" applyAlignment="1">
      <alignment horizontal="center"/>
    </xf>
    <xf numFmtId="0" fontId="0" fillId="0" borderId="2" xfId="0" applyBorder="1"/>
    <xf numFmtId="0" fontId="0" fillId="0" borderId="3" xfId="0" applyBorder="1"/>
    <xf numFmtId="0" fontId="0" fillId="2" borderId="5" xfId="0" quotePrefix="1" applyFill="1" applyBorder="1"/>
    <xf numFmtId="0" fontId="0" fillId="3" borderId="1" xfId="0" applyFill="1" applyBorder="1"/>
    <xf numFmtId="0" fontId="0" fillId="3" borderId="7" xfId="0" quotePrefix="1" applyFill="1" applyBorder="1" applyAlignment="1">
      <alignment horizontal="center"/>
    </xf>
    <xf numFmtId="0" fontId="0" fillId="3" borderId="4" xfId="0" applyFill="1" applyBorder="1"/>
    <xf numFmtId="0" fontId="0" fillId="3" borderId="1" xfId="0" quotePrefix="1" applyFill="1" applyBorder="1" applyAlignment="1">
      <alignment horizontal="center"/>
    </xf>
    <xf numFmtId="0" fontId="0" fillId="3" borderId="7" xfId="0" applyFill="1" applyBorder="1"/>
    <xf numFmtId="11" fontId="0" fillId="3" borderId="7" xfId="0" quotePrefix="1" applyNumberFormat="1" applyFill="1" applyBorder="1" applyAlignment="1">
      <alignment horizontal="center"/>
    </xf>
    <xf numFmtId="0" fontId="14" fillId="2" borderId="8" xfId="0" applyFont="1" applyFill="1" applyBorder="1" applyAlignment="1">
      <alignment horizontal="center"/>
    </xf>
    <xf numFmtId="0" fontId="20" fillId="2" borderId="0" xfId="0" applyFont="1" applyFill="1" applyAlignment="1">
      <alignment horizontal="center" vertical="center" wrapText="1"/>
    </xf>
    <xf numFmtId="0" fontId="0" fillId="0" borderId="0" xfId="0" applyAlignment="1">
      <alignment horizontal="left" vertical="center" indent="2"/>
    </xf>
    <xf numFmtId="0" fontId="14" fillId="0" borderId="0" xfId="0" applyFont="1" applyAlignment="1">
      <alignment horizontal="left" vertical="center" indent="2"/>
    </xf>
    <xf numFmtId="0" fontId="14" fillId="2" borderId="0" xfId="0" applyFont="1" applyFill="1" applyAlignment="1">
      <alignment horizontal="left" vertical="center" indent="2"/>
    </xf>
    <xf numFmtId="0" fontId="10" fillId="0" borderId="8" xfId="1" applyFont="1" applyBorder="1" applyAlignment="1">
      <alignment horizontal="left" indent="2"/>
    </xf>
    <xf numFmtId="0" fontId="7" fillId="0" borderId="7" xfId="1" applyFont="1" applyBorder="1" applyAlignment="1">
      <alignment horizontal="left" indent="2"/>
    </xf>
    <xf numFmtId="0" fontId="0" fillId="2" borderId="8" xfId="0" applyFill="1" applyBorder="1" applyAlignment="1">
      <alignment horizontal="left" indent="2"/>
    </xf>
    <xf numFmtId="0" fontId="1" fillId="0" borderId="7" xfId="0" applyFont="1" applyBorder="1" applyAlignment="1">
      <alignment horizontal="left" indent="2"/>
    </xf>
    <xf numFmtId="0" fontId="0" fillId="0" borderId="8" xfId="0" applyBorder="1" applyAlignment="1">
      <alignment horizontal="center"/>
    </xf>
    <xf numFmtId="0" fontId="0" fillId="2" borderId="3" xfId="0" applyFill="1" applyBorder="1" applyAlignment="1">
      <alignment horizontal="left" indent="2"/>
    </xf>
    <xf numFmtId="0" fontId="0" fillId="0" borderId="3" xfId="0" applyBorder="1" applyAlignment="1">
      <alignment horizontal="center"/>
    </xf>
    <xf numFmtId="0" fontId="0" fillId="0" borderId="2" xfId="0" quotePrefix="1" applyBorder="1" applyAlignment="1">
      <alignment horizontal="center"/>
    </xf>
    <xf numFmtId="165" fontId="0" fillId="0" borderId="2" xfId="0" quotePrefix="1" applyNumberFormat="1" applyBorder="1" applyAlignment="1">
      <alignment horizontal="center"/>
    </xf>
    <xf numFmtId="0" fontId="0" fillId="2" borderId="6" xfId="0" applyFill="1" applyBorder="1" applyAlignment="1">
      <alignment horizontal="left" indent="2"/>
    </xf>
    <xf numFmtId="0" fontId="7" fillId="0" borderId="4" xfId="1" applyFont="1" applyBorder="1" applyAlignment="1">
      <alignment horizontal="left" indent="2"/>
    </xf>
    <xf numFmtId="0" fontId="7" fillId="0" borderId="5" xfId="1" applyFont="1" applyBorder="1" applyAlignment="1">
      <alignment horizontal="center"/>
    </xf>
    <xf numFmtId="0" fontId="7" fillId="0" borderId="6" xfId="1" applyFont="1" applyBorder="1" applyAlignment="1">
      <alignment horizontal="left" indent="2"/>
    </xf>
    <xf numFmtId="0" fontId="0" fillId="0" borderId="6" xfId="0" applyBorder="1" applyAlignment="1">
      <alignment horizontal="center"/>
    </xf>
    <xf numFmtId="0" fontId="0" fillId="0" borderId="5" xfId="0" quotePrefix="1" applyBorder="1" applyAlignment="1">
      <alignment horizontal="center"/>
    </xf>
    <xf numFmtId="165" fontId="0" fillId="0" borderId="5" xfId="0" quotePrefix="1" applyNumberFormat="1" applyBorder="1" applyAlignment="1">
      <alignment horizontal="center"/>
    </xf>
    <xf numFmtId="0" fontId="0" fillId="3" borderId="4" xfId="0" quotePrefix="1" applyFill="1" applyBorder="1" applyAlignment="1">
      <alignment horizontal="center"/>
    </xf>
    <xf numFmtId="0" fontId="12" fillId="0" borderId="0" xfId="0" applyFont="1" applyAlignment="1">
      <alignment horizontal="center"/>
    </xf>
    <xf numFmtId="0" fontId="0" fillId="0" borderId="1" xfId="0" applyBorder="1" applyAlignment="1">
      <alignment horizontal="center"/>
    </xf>
    <xf numFmtId="0" fontId="0" fillId="0" borderId="4" xfId="0" applyBorder="1" applyAlignment="1">
      <alignment horizontal="center"/>
    </xf>
    <xf numFmtId="0" fontId="19" fillId="2" borderId="0" xfId="1" applyFont="1" applyFill="1" applyAlignment="1">
      <alignment horizontal="center" vertical="center"/>
    </xf>
    <xf numFmtId="0" fontId="20" fillId="2" borderId="0" xfId="0" applyFont="1" applyFill="1" applyAlignment="1">
      <alignment horizontal="left" vertical="center" wrapText="1"/>
    </xf>
    <xf numFmtId="167" fontId="0" fillId="2" borderId="0" xfId="0" quotePrefix="1" applyNumberFormat="1" applyFill="1" applyAlignment="1">
      <alignment horizontal="center"/>
    </xf>
    <xf numFmtId="0" fontId="10" fillId="2" borderId="8" xfId="0" applyFont="1" applyFill="1" applyBorder="1" applyAlignment="1">
      <alignment horizontal="left" indent="2"/>
    </xf>
    <xf numFmtId="11" fontId="0" fillId="2" borderId="5" xfId="0" applyNumberFormat="1" applyFill="1" applyBorder="1"/>
    <xf numFmtId="0" fontId="7" fillId="2" borderId="8" xfId="0" applyFont="1" applyFill="1" applyBorder="1" applyAlignment="1">
      <alignment horizontal="left" indent="2"/>
    </xf>
    <xf numFmtId="0" fontId="18" fillId="3" borderId="1" xfId="1" applyFont="1" applyFill="1" applyBorder="1" applyAlignment="1">
      <alignment horizontal="center"/>
    </xf>
    <xf numFmtId="11" fontId="0" fillId="3" borderId="4" xfId="0" applyNumberFormat="1" applyFill="1" applyBorder="1"/>
    <xf numFmtId="0" fontId="7" fillId="2" borderId="7" xfId="1" applyFont="1" applyFill="1" applyBorder="1" applyAlignment="1">
      <alignment horizontal="center"/>
    </xf>
    <xf numFmtId="0" fontId="12" fillId="2" borderId="4" xfId="0" applyFont="1" applyFill="1" applyBorder="1" applyAlignment="1">
      <alignment horizontal="center"/>
    </xf>
    <xf numFmtId="0" fontId="14" fillId="0" borderId="0" xfId="0" applyFont="1" applyAlignment="1">
      <alignment horizontal="center" vertical="center"/>
    </xf>
    <xf numFmtId="0" fontId="0" fillId="0" borderId="0" xfId="0" applyAlignment="1">
      <alignment horizontal="center" vertical="center"/>
    </xf>
    <xf numFmtId="0" fontId="0" fillId="3" borderId="7" xfId="0" applyFill="1" applyBorder="1" applyAlignment="1">
      <alignment horizontal="center"/>
    </xf>
    <xf numFmtId="0" fontId="0" fillId="3" borderId="4" xfId="0" applyFill="1" applyBorder="1" applyAlignment="1">
      <alignment horizontal="center"/>
    </xf>
    <xf numFmtId="0" fontId="0" fillId="3" borderId="1" xfId="0" applyFill="1" applyBorder="1" applyAlignment="1">
      <alignment horizontal="center"/>
    </xf>
    <xf numFmtId="0" fontId="5" fillId="2" borderId="0" xfId="0" applyFont="1" applyFill="1" applyAlignment="1">
      <alignment horizontal="center"/>
    </xf>
    <xf numFmtId="0" fontId="13" fillId="2" borderId="0" xfId="0" applyFont="1" applyFill="1" applyAlignment="1">
      <alignment horizontal="center"/>
    </xf>
    <xf numFmtId="166" fontId="0" fillId="3" borderId="2" xfId="0" quotePrefix="1" applyNumberFormat="1" applyFill="1" applyBorder="1" applyAlignment="1">
      <alignment horizontal="center"/>
    </xf>
    <xf numFmtId="166" fontId="0" fillId="3" borderId="5" xfId="0" quotePrefix="1" applyNumberFormat="1" applyFill="1" applyBorder="1" applyAlignment="1">
      <alignment horizontal="center"/>
    </xf>
    <xf numFmtId="164" fontId="0" fillId="3" borderId="0" xfId="0" quotePrefix="1" applyNumberFormat="1" applyFill="1" applyAlignment="1">
      <alignment horizontal="center"/>
    </xf>
    <xf numFmtId="2" fontId="0" fillId="3" borderId="0" xfId="0" quotePrefix="1" applyNumberFormat="1" applyFill="1" applyAlignment="1">
      <alignment horizontal="center"/>
    </xf>
    <xf numFmtId="170" fontId="0" fillId="3" borderId="0" xfId="0" quotePrefix="1" applyNumberFormat="1" applyFill="1" applyAlignment="1">
      <alignment horizontal="center"/>
    </xf>
    <xf numFmtId="165" fontId="0" fillId="3" borderId="7" xfId="0" quotePrefix="1" applyNumberFormat="1" applyFill="1" applyBorder="1" applyAlignment="1">
      <alignment horizontal="center"/>
    </xf>
    <xf numFmtId="171" fontId="0" fillId="2" borderId="0" xfId="0" quotePrefix="1" applyNumberFormat="1" applyFill="1" applyAlignment="1">
      <alignment horizontal="center"/>
    </xf>
    <xf numFmtId="2" fontId="14" fillId="3" borderId="8" xfId="0" quotePrefix="1" applyNumberFormat="1" applyFont="1" applyFill="1" applyBorder="1" applyAlignment="1">
      <alignment horizontal="center"/>
    </xf>
    <xf numFmtId="0" fontId="7" fillId="2" borderId="0" xfId="1" applyFont="1" applyFill="1" applyAlignment="1">
      <alignment horizontal="center" wrapText="1"/>
    </xf>
    <xf numFmtId="0" fontId="0" fillId="2" borderId="8" xfId="0" applyFill="1" applyBorder="1" applyAlignment="1">
      <alignment horizontal="center" vertical="center"/>
    </xf>
    <xf numFmtId="0" fontId="0" fillId="2" borderId="0" xfId="0" applyFill="1" applyAlignment="1">
      <alignment horizontal="center" vertical="center"/>
    </xf>
    <xf numFmtId="167" fontId="0" fillId="3" borderId="8" xfId="0" quotePrefix="1" applyNumberFormat="1" applyFill="1" applyBorder="1" applyAlignment="1">
      <alignment horizontal="center"/>
    </xf>
    <xf numFmtId="0" fontId="0" fillId="2" borderId="7" xfId="0" applyFill="1" applyBorder="1" applyAlignment="1">
      <alignment horizontal="center"/>
    </xf>
    <xf numFmtId="0" fontId="0" fillId="2" borderId="7" xfId="0" applyFill="1" applyBorder="1" applyAlignment="1">
      <alignment horizontal="center" vertical="center"/>
    </xf>
    <xf numFmtId="166" fontId="0" fillId="2" borderId="0" xfId="0" applyNumberFormat="1" applyFill="1" applyAlignment="1">
      <alignment horizontal="center"/>
    </xf>
    <xf numFmtId="0" fontId="0" fillId="3" borderId="0" xfId="0" quotePrefix="1" applyFill="1" applyAlignment="1">
      <alignment horizontal="center" vertical="center"/>
    </xf>
    <xf numFmtId="0" fontId="0" fillId="2" borderId="0" xfId="0" quotePrefix="1" applyFill="1" applyAlignment="1">
      <alignment horizontal="center" vertical="center"/>
    </xf>
    <xf numFmtId="165"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0" fillId="3" borderId="7" xfId="0" quotePrefix="1" applyFill="1" applyBorder="1" applyAlignment="1">
      <alignment horizontal="center" vertical="center"/>
    </xf>
    <xf numFmtId="0" fontId="0" fillId="3" borderId="8" xfId="0" applyFill="1" applyBorder="1" applyAlignment="1">
      <alignment horizontal="center" vertical="center"/>
    </xf>
    <xf numFmtId="0" fontId="22" fillId="2" borderId="0" xfId="1" applyFont="1" applyFill="1" applyAlignment="1">
      <alignment horizontal="left" vertical="center" wrapText="1" indent="2"/>
    </xf>
    <xf numFmtId="0" fontId="20" fillId="2" borderId="0" xfId="0" applyFont="1" applyFill="1" applyAlignment="1">
      <alignment horizontal="left" vertical="center" indent="2"/>
    </xf>
    <xf numFmtId="0" fontId="20" fillId="2" borderId="0" xfId="0" applyFont="1" applyFill="1" applyAlignment="1">
      <alignment horizontal="left" vertical="center" wrapText="1" indent="2"/>
    </xf>
    <xf numFmtId="0" fontId="0" fillId="2" borderId="0" xfId="0" applyFill="1" applyAlignment="1">
      <alignment horizontal="left"/>
    </xf>
    <xf numFmtId="0" fontId="6" fillId="2" borderId="1" xfId="0" applyFont="1" applyFill="1" applyBorder="1" applyAlignment="1">
      <alignment horizontal="left" indent="2"/>
    </xf>
    <xf numFmtId="0" fontId="10" fillId="2" borderId="2" xfId="0" applyFont="1" applyFill="1" applyBorder="1" applyAlignment="1">
      <alignment horizontal="center"/>
    </xf>
    <xf numFmtId="0" fontId="10" fillId="2" borderId="3" xfId="0" applyFont="1" applyFill="1" applyBorder="1" applyAlignment="1">
      <alignment horizontal="left" indent="2"/>
    </xf>
    <xf numFmtId="0" fontId="10" fillId="2" borderId="6" xfId="0" applyFont="1" applyFill="1" applyBorder="1" applyAlignment="1">
      <alignment horizontal="left" indent="2"/>
    </xf>
    <xf numFmtId="0" fontId="7" fillId="2" borderId="4" xfId="1" applyFont="1" applyFill="1" applyBorder="1" applyAlignment="1">
      <alignment horizontal="center"/>
    </xf>
    <xf numFmtId="165" fontId="0" fillId="3" borderId="4" xfId="0" quotePrefix="1" applyNumberFormat="1" applyFill="1" applyBorder="1" applyAlignment="1">
      <alignment horizontal="center"/>
    </xf>
    <xf numFmtId="167" fontId="0" fillId="2" borderId="5" xfId="0" quotePrefix="1" applyNumberFormat="1" applyFill="1" applyBorder="1" applyAlignment="1">
      <alignment horizontal="center"/>
    </xf>
    <xf numFmtId="167" fontId="0" fillId="3" borderId="5" xfId="0" quotePrefix="1" applyNumberFormat="1" applyFill="1" applyBorder="1" applyAlignment="1">
      <alignment horizontal="center"/>
    </xf>
    <xf numFmtId="165" fontId="0" fillId="3" borderId="5" xfId="0" quotePrefix="1" applyNumberFormat="1" applyFill="1" applyBorder="1" applyAlignment="1">
      <alignment horizontal="center"/>
    </xf>
    <xf numFmtId="167" fontId="0" fillId="3" borderId="6" xfId="0" quotePrefix="1" applyNumberFormat="1" applyFill="1" applyBorder="1" applyAlignment="1">
      <alignment horizontal="center"/>
    </xf>
    <xf numFmtId="11" fontId="0" fillId="3" borderId="4" xfId="0" quotePrefix="1" applyNumberFormat="1" applyFill="1" applyBorder="1" applyAlignment="1">
      <alignment horizontal="center"/>
    </xf>
    <xf numFmtId="11" fontId="0" fillId="3" borderId="5" xfId="0" quotePrefix="1" applyNumberFormat="1" applyFill="1" applyBorder="1" applyAlignment="1">
      <alignment horizontal="center"/>
    </xf>
    <xf numFmtId="11" fontId="0" fillId="2" borderId="5" xfId="0" quotePrefix="1" applyNumberFormat="1" applyFill="1" applyBorder="1" applyAlignment="1">
      <alignment horizontal="center"/>
    </xf>
    <xf numFmtId="174" fontId="0" fillId="3" borderId="7" xfId="0" quotePrefix="1" applyNumberFormat="1" applyFill="1" applyBorder="1" applyAlignment="1">
      <alignment horizontal="center"/>
    </xf>
    <xf numFmtId="174" fontId="0" fillId="3" borderId="0" xfId="0" quotePrefix="1" applyNumberFormat="1" applyFill="1" applyAlignment="1">
      <alignment horizontal="center"/>
    </xf>
    <xf numFmtId="174" fontId="0" fillId="2" borderId="0" xfId="0" quotePrefix="1" applyNumberFormat="1" applyFill="1" applyAlignment="1">
      <alignment horizontal="center"/>
    </xf>
    <xf numFmtId="174" fontId="0" fillId="3" borderId="8" xfId="0" quotePrefix="1" applyNumberFormat="1" applyFill="1" applyBorder="1" applyAlignment="1">
      <alignment horizontal="center"/>
    </xf>
    <xf numFmtId="0" fontId="18" fillId="3" borderId="2" xfId="1" applyFont="1" applyFill="1" applyBorder="1" applyAlignment="1">
      <alignment horizontal="center"/>
    </xf>
    <xf numFmtId="11" fontId="0" fillId="3" borderId="5" xfId="0" applyNumberFormat="1" applyFill="1" applyBorder="1"/>
    <xf numFmtId="166" fontId="0" fillId="3" borderId="8" xfId="0" quotePrefix="1" applyNumberFormat="1" applyFill="1" applyBorder="1" applyAlignment="1">
      <alignment horizontal="center"/>
    </xf>
    <xf numFmtId="0" fontId="7" fillId="2" borderId="1" xfId="1" applyFont="1" applyFill="1" applyBorder="1" applyAlignment="1">
      <alignment horizontal="center"/>
    </xf>
    <xf numFmtId="165" fontId="0" fillId="3" borderId="1" xfId="0" quotePrefix="1" applyNumberFormat="1" applyFill="1" applyBorder="1" applyAlignment="1">
      <alignment horizontal="center"/>
    </xf>
    <xf numFmtId="165" fontId="0" fillId="3" borderId="2" xfId="0" quotePrefix="1" applyNumberFormat="1" applyFill="1" applyBorder="1" applyAlignment="1">
      <alignment horizontal="center"/>
    </xf>
    <xf numFmtId="167" fontId="0" fillId="2" borderId="2" xfId="0" quotePrefix="1" applyNumberFormat="1" applyFill="1" applyBorder="1" applyAlignment="1">
      <alignment horizontal="center"/>
    </xf>
    <xf numFmtId="167" fontId="0" fillId="3" borderId="2" xfId="0" quotePrefix="1" applyNumberFormat="1" applyFill="1" applyBorder="1" applyAlignment="1">
      <alignment horizontal="center"/>
    </xf>
    <xf numFmtId="167" fontId="0" fillId="3" borderId="3" xfId="0" quotePrefix="1" applyNumberFormat="1" applyFill="1" applyBorder="1" applyAlignment="1">
      <alignment horizontal="center"/>
    </xf>
    <xf numFmtId="11" fontId="0" fillId="3" borderId="1" xfId="0" quotePrefix="1" applyNumberFormat="1" applyFill="1" applyBorder="1" applyAlignment="1">
      <alignment horizontal="center"/>
    </xf>
    <xf numFmtId="11" fontId="0" fillId="3" borderId="2" xfId="0" quotePrefix="1" applyNumberFormat="1" applyFill="1" applyBorder="1" applyAlignment="1">
      <alignment horizontal="center"/>
    </xf>
    <xf numFmtId="11" fontId="0" fillId="2" borderId="2" xfId="0" quotePrefix="1" applyNumberFormat="1" applyFill="1" applyBorder="1" applyAlignment="1">
      <alignment horizontal="center"/>
    </xf>
    <xf numFmtId="0" fontId="7" fillId="2" borderId="6" xfId="0" applyFont="1" applyFill="1" applyBorder="1" applyAlignment="1">
      <alignment horizontal="left" indent="2"/>
    </xf>
    <xf numFmtId="174" fontId="0" fillId="3" borderId="5" xfId="0" quotePrefix="1" applyNumberFormat="1" applyFill="1" applyBorder="1" applyAlignment="1">
      <alignment horizontal="center"/>
    </xf>
    <xf numFmtId="174" fontId="0" fillId="2" borderId="5" xfId="0" quotePrefix="1" applyNumberFormat="1" applyFill="1" applyBorder="1" applyAlignment="1">
      <alignment horizontal="center"/>
    </xf>
    <xf numFmtId="174" fontId="0" fillId="3" borderId="6" xfId="0" quotePrefix="1" applyNumberFormat="1" applyFill="1" applyBorder="1" applyAlignment="1">
      <alignment horizontal="center"/>
    </xf>
    <xf numFmtId="174" fontId="0" fillId="3" borderId="4" xfId="0" quotePrefix="1" applyNumberFormat="1" applyFill="1" applyBorder="1" applyAlignment="1">
      <alignment horizontal="center"/>
    </xf>
    <xf numFmtId="164" fontId="0" fillId="3" borderId="7" xfId="0" quotePrefix="1" applyNumberFormat="1" applyFill="1" applyBorder="1" applyAlignment="1">
      <alignment horizontal="center"/>
    </xf>
    <xf numFmtId="0" fontId="12" fillId="0" borderId="2" xfId="0" quotePrefix="1" applyFont="1" applyBorder="1" applyAlignment="1">
      <alignment horizontal="center"/>
    </xf>
    <xf numFmtId="174" fontId="0" fillId="2" borderId="5" xfId="0" applyNumberFormat="1" applyFill="1" applyBorder="1" applyAlignment="1">
      <alignment horizontal="center"/>
    </xf>
    <xf numFmtId="174" fontId="0" fillId="2" borderId="2" xfId="0" applyNumberFormat="1" applyFill="1" applyBorder="1" applyAlignment="1">
      <alignment horizontal="center"/>
    </xf>
    <xf numFmtId="11" fontId="0" fillId="3" borderId="0" xfId="0" applyNumberFormat="1" applyFill="1"/>
    <xf numFmtId="2" fontId="0" fillId="2" borderId="0" xfId="0" applyNumberFormat="1" applyFill="1"/>
    <xf numFmtId="2" fontId="0" fillId="2" borderId="2" xfId="0" applyNumberFormat="1" applyFill="1" applyBorder="1"/>
    <xf numFmtId="2" fontId="0" fillId="2" borderId="0" xfId="0" quotePrefix="1" applyNumberFormat="1" applyFill="1" applyAlignment="1">
      <alignment horizontal="center" vertical="center"/>
    </xf>
    <xf numFmtId="2" fontId="0" fillId="2" borderId="5" xfId="0" applyNumberFormat="1" applyFill="1" applyBorder="1"/>
    <xf numFmtId="2" fontId="0" fillId="2" borderId="5" xfId="0" quotePrefix="1" applyNumberFormat="1" applyFill="1" applyBorder="1" applyAlignment="1">
      <alignment horizontal="center"/>
    </xf>
    <xf numFmtId="174" fontId="0" fillId="2" borderId="2" xfId="0" quotePrefix="1" applyNumberFormat="1" applyFill="1" applyBorder="1" applyAlignment="1">
      <alignment horizontal="center"/>
    </xf>
    <xf numFmtId="174" fontId="0" fillId="2" borderId="5" xfId="0" applyNumberFormat="1" applyFill="1" applyBorder="1"/>
    <xf numFmtId="174" fontId="0" fillId="2" borderId="2" xfId="0" applyNumberFormat="1" applyFill="1" applyBorder="1"/>
    <xf numFmtId="174" fontId="0" fillId="3" borderId="2" xfId="0" quotePrefix="1" applyNumberFormat="1" applyFill="1" applyBorder="1" applyAlignment="1">
      <alignment horizontal="center"/>
    </xf>
    <xf numFmtId="0" fontId="6" fillId="2" borderId="5" xfId="1" applyFont="1" applyFill="1" applyBorder="1"/>
    <xf numFmtId="0" fontId="3" fillId="2" borderId="1" xfId="1" applyFont="1" applyFill="1" applyBorder="1" applyAlignment="1">
      <alignment vertical="center"/>
    </xf>
    <xf numFmtId="0" fontId="3" fillId="2" borderId="4" xfId="1" applyFont="1" applyFill="1" applyBorder="1" applyAlignment="1">
      <alignment vertical="center"/>
    </xf>
    <xf numFmtId="0" fontId="7" fillId="2" borderId="2" xfId="1" applyFont="1" applyFill="1" applyBorder="1"/>
    <xf numFmtId="0" fontId="7" fillId="2" borderId="8" xfId="1" applyFont="1" applyFill="1" applyBorder="1" applyAlignment="1">
      <alignment horizontal="left" indent="2" readingOrder="1"/>
    </xf>
    <xf numFmtId="0" fontId="7" fillId="2" borderId="3" xfId="1" applyFont="1" applyFill="1" applyBorder="1" applyAlignment="1">
      <alignment horizontal="center"/>
    </xf>
    <xf numFmtId="0" fontId="7" fillId="2" borderId="6" xfId="1" applyFont="1" applyFill="1" applyBorder="1" applyAlignment="1">
      <alignment horizontal="center"/>
    </xf>
    <xf numFmtId="0" fontId="1" fillId="2" borderId="2" xfId="0" applyFont="1" applyFill="1" applyBorder="1" applyAlignment="1">
      <alignment horizontal="left"/>
    </xf>
    <xf numFmtId="0" fontId="0" fillId="2" borderId="5" xfId="0" applyFill="1" applyBorder="1" applyAlignment="1">
      <alignment horizontal="left"/>
    </xf>
    <xf numFmtId="0" fontId="6" fillId="2" borderId="2" xfId="1" applyFont="1" applyFill="1" applyBorder="1" applyAlignment="1">
      <alignment horizontal="left"/>
    </xf>
    <xf numFmtId="0" fontId="6" fillId="2" borderId="0" xfId="1" applyFont="1" applyFill="1" applyAlignment="1">
      <alignment horizontal="left"/>
    </xf>
    <xf numFmtId="0" fontId="7" fillId="2" borderId="0" xfId="1" applyFont="1" applyFill="1" applyAlignment="1">
      <alignment horizontal="left"/>
    </xf>
    <xf numFmtId="0" fontId="7" fillId="2" borderId="5" xfId="1" applyFont="1" applyFill="1" applyBorder="1" applyAlignment="1">
      <alignment horizontal="left"/>
    </xf>
    <xf numFmtId="0" fontId="20" fillId="2" borderId="0" xfId="0" applyFont="1" applyFill="1" applyAlignment="1">
      <alignment vertical="top"/>
    </xf>
    <xf numFmtId="0" fontId="20" fillId="2" borderId="0" xfId="0" applyFont="1" applyFill="1" applyAlignment="1">
      <alignment vertical="center"/>
    </xf>
    <xf numFmtId="0" fontId="21" fillId="0" borderId="0" xfId="2" applyFont="1" applyBorder="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xf>
    <xf numFmtId="0" fontId="0" fillId="2" borderId="0" xfId="0" applyFill="1" applyAlignment="1">
      <alignment horizontal="left" vertical="top"/>
    </xf>
    <xf numFmtId="0" fontId="7" fillId="2" borderId="0" xfId="1" applyFont="1" applyFill="1" applyAlignment="1">
      <alignment horizontal="left" vertical="top"/>
    </xf>
    <xf numFmtId="0" fontId="0" fillId="0" borderId="0" xfId="0" applyAlignment="1">
      <alignment horizontal="left" vertical="top"/>
    </xf>
    <xf numFmtId="0" fontId="7" fillId="0" borderId="0" xfId="1" applyFont="1" applyAlignment="1">
      <alignment horizontal="left"/>
    </xf>
    <xf numFmtId="0" fontId="19" fillId="2" borderId="0" xfId="1" applyFont="1" applyFill="1" applyAlignment="1">
      <alignment horizontal="left" vertical="top"/>
    </xf>
    <xf numFmtId="0" fontId="26" fillId="2" borderId="0" xfId="1" applyFont="1" applyFill="1" applyAlignment="1">
      <alignment horizontal="left" vertical="top"/>
    </xf>
    <xf numFmtId="0" fontId="27" fillId="0" borderId="0" xfId="0" applyFont="1" applyAlignment="1">
      <alignment horizontal="left" vertical="top"/>
    </xf>
    <xf numFmtId="0" fontId="20" fillId="2" borderId="0" xfId="0" applyFont="1" applyFill="1" applyAlignment="1">
      <alignment horizontal="right" vertical="top"/>
    </xf>
    <xf numFmtId="0" fontId="0" fillId="0" borderId="0" xfId="0" applyAlignment="1">
      <alignment horizontal="right" vertical="top"/>
    </xf>
    <xf numFmtId="0" fontId="20" fillId="0" borderId="0" xfId="0" applyFont="1" applyAlignment="1">
      <alignment horizontal="right" vertical="top"/>
    </xf>
    <xf numFmtId="0" fontId="20" fillId="2" borderId="0" xfId="0" applyFont="1" applyFill="1" applyAlignment="1">
      <alignment horizontal="right" vertical="top" wrapText="1"/>
    </xf>
    <xf numFmtId="0" fontId="21" fillId="0" borderId="0" xfId="2" applyFont="1" applyBorder="1" applyAlignment="1">
      <alignment horizontal="right" vertical="top"/>
    </xf>
    <xf numFmtId="0" fontId="7" fillId="2" borderId="3" xfId="1" applyFont="1" applyFill="1" applyBorder="1" applyAlignment="1">
      <alignment horizontal="left" indent="2"/>
    </xf>
    <xf numFmtId="0" fontId="10" fillId="2" borderId="5" xfId="0" applyFont="1" applyFill="1" applyBorder="1"/>
    <xf numFmtId="0" fontId="7" fillId="0" borderId="5" xfId="1" applyFont="1" applyBorder="1" applyAlignment="1">
      <alignment horizontal="left"/>
    </xf>
    <xf numFmtId="0" fontId="1" fillId="0" borderId="0" xfId="0" applyFont="1" applyAlignment="1">
      <alignment horizontal="left"/>
    </xf>
    <xf numFmtId="0" fontId="6" fillId="2" borderId="2" xfId="0" applyFont="1" applyFill="1" applyBorder="1" applyAlignment="1">
      <alignment horizontal="left"/>
    </xf>
    <xf numFmtId="0" fontId="22" fillId="2" borderId="0" xfId="1" applyFont="1" applyFill="1" applyAlignment="1">
      <alignment vertical="center" wrapText="1"/>
    </xf>
    <xf numFmtId="0" fontId="21" fillId="2" borderId="0" xfId="2" applyFont="1" applyFill="1" applyBorder="1" applyAlignment="1">
      <alignment horizontal="left" vertical="top"/>
    </xf>
    <xf numFmtId="0" fontId="0" fillId="2" borderId="0" xfId="0" applyFill="1" applyAlignment="1">
      <alignment vertical="top"/>
    </xf>
    <xf numFmtId="0" fontId="7" fillId="2" borderId="0" xfId="1" applyFont="1" applyFill="1" applyAlignment="1">
      <alignment vertical="top"/>
    </xf>
    <xf numFmtId="0" fontId="22" fillId="2" borderId="0" xfId="1" applyFont="1" applyFill="1" applyAlignment="1">
      <alignment vertical="top"/>
    </xf>
    <xf numFmtId="0" fontId="7" fillId="2" borderId="0" xfId="0" applyFont="1" applyFill="1" applyAlignment="1">
      <alignment horizontal="center"/>
    </xf>
    <xf numFmtId="170" fontId="0" fillId="2" borderId="0" xfId="0" quotePrefix="1" applyNumberFormat="1" applyFill="1" applyAlignment="1">
      <alignment horizontal="center"/>
    </xf>
    <xf numFmtId="0" fontId="21" fillId="0" borderId="0" xfId="2" applyFont="1" applyAlignment="1">
      <alignment vertical="top"/>
    </xf>
    <xf numFmtId="0" fontId="0" fillId="2" borderId="8" xfId="0" applyFill="1" applyBorder="1" applyAlignment="1">
      <alignment horizontal="center"/>
    </xf>
    <xf numFmtId="0" fontId="0" fillId="0" borderId="8" xfId="0" quotePrefix="1" applyBorder="1" applyAlignment="1">
      <alignment horizontal="center"/>
    </xf>
    <xf numFmtId="165" fontId="0" fillId="0" borderId="8" xfId="0" quotePrefix="1" applyNumberFormat="1" applyBorder="1" applyAlignment="1">
      <alignment horizontal="center"/>
    </xf>
    <xf numFmtId="0" fontId="0" fillId="0" borderId="6" xfId="0" quotePrefix="1" applyBorder="1" applyAlignment="1">
      <alignment horizontal="center"/>
    </xf>
    <xf numFmtId="0" fontId="0" fillId="0" borderId="3" xfId="0" quotePrefix="1" applyBorder="1" applyAlignment="1">
      <alignment horizontal="center"/>
    </xf>
    <xf numFmtId="0" fontId="0" fillId="2" borderId="6" xfId="0" quotePrefix="1" applyFill="1" applyBorder="1" applyAlignment="1">
      <alignment horizontal="center"/>
    </xf>
    <xf numFmtId="0" fontId="0" fillId="2" borderId="3" xfId="0" quotePrefix="1" applyFill="1" applyBorder="1" applyAlignment="1">
      <alignment horizontal="center"/>
    </xf>
    <xf numFmtId="0" fontId="7" fillId="0" borderId="8" xfId="0" applyFont="1" applyBorder="1" applyAlignment="1">
      <alignment horizontal="left" indent="2"/>
    </xf>
    <xf numFmtId="0" fontId="5" fillId="0" borderId="2" xfId="0" applyFont="1" applyBorder="1" applyAlignment="1">
      <alignment horizontal="center"/>
    </xf>
    <xf numFmtId="0" fontId="1" fillId="0" borderId="5" xfId="0" applyFont="1" applyBorder="1" applyAlignment="1">
      <alignment horizontal="center"/>
    </xf>
    <xf numFmtId="174" fontId="0" fillId="0" borderId="5" xfId="0" quotePrefix="1" applyNumberFormat="1" applyBorder="1" applyAlignment="1">
      <alignment horizontal="center"/>
    </xf>
    <xf numFmtId="0" fontId="0" fillId="0" borderId="5" xfId="0" applyBorder="1"/>
    <xf numFmtId="0" fontId="1" fillId="3" borderId="1" xfId="0" applyFont="1" applyFill="1" applyBorder="1" applyAlignment="1">
      <alignment horizontal="center"/>
    </xf>
    <xf numFmtId="167" fontId="0" fillId="3" borderId="7" xfId="0" quotePrefix="1" applyNumberFormat="1" applyFill="1" applyBorder="1" applyAlignment="1">
      <alignment horizontal="center"/>
    </xf>
    <xf numFmtId="166" fontId="0" fillId="2" borderId="8" xfId="0" quotePrefix="1" applyNumberFormat="1" applyFill="1" applyBorder="1" applyAlignment="1">
      <alignment horizontal="center"/>
    </xf>
    <xf numFmtId="165" fontId="0" fillId="2" borderId="8" xfId="0" quotePrefix="1" applyNumberFormat="1" applyFill="1" applyBorder="1" applyAlignment="1">
      <alignment horizontal="center"/>
    </xf>
    <xf numFmtId="0" fontId="0" fillId="2" borderId="8" xfId="0" quotePrefix="1" applyFill="1" applyBorder="1" applyAlignment="1">
      <alignment horizontal="center" vertical="center"/>
    </xf>
    <xf numFmtId="0" fontId="7" fillId="2" borderId="3" xfId="0" applyFont="1" applyFill="1" applyBorder="1" applyAlignment="1">
      <alignment horizontal="left" indent="2"/>
    </xf>
    <xf numFmtId="174" fontId="0" fillId="3" borderId="3" xfId="0" quotePrefix="1" applyNumberFormat="1" applyFill="1" applyBorder="1" applyAlignment="1">
      <alignment horizontal="center"/>
    </xf>
    <xf numFmtId="174" fontId="0" fillId="3" borderId="1" xfId="0" quotePrefix="1" applyNumberFormat="1" applyFill="1" applyBorder="1" applyAlignment="1">
      <alignment horizontal="center"/>
    </xf>
    <xf numFmtId="174" fontId="0" fillId="0" borderId="2" xfId="0" quotePrefix="1" applyNumberFormat="1" applyBorder="1" applyAlignment="1">
      <alignment horizontal="center"/>
    </xf>
    <xf numFmtId="0" fontId="1" fillId="3" borderId="0" xfId="0" applyFont="1" applyFill="1" applyAlignment="1">
      <alignment horizontal="center"/>
    </xf>
    <xf numFmtId="0" fontId="1" fillId="2" borderId="0" xfId="0" quotePrefix="1" applyFont="1" applyFill="1" applyAlignment="1">
      <alignment horizontal="center"/>
    </xf>
    <xf numFmtId="0" fontId="1" fillId="3" borderId="0" xfId="0" quotePrefix="1" applyFont="1" applyFill="1" applyAlignment="1">
      <alignment horizontal="center"/>
    </xf>
    <xf numFmtId="0" fontId="17" fillId="2" borderId="0" xfId="0" quotePrefix="1" applyFont="1" applyFill="1" applyAlignment="1">
      <alignment horizontal="center"/>
    </xf>
    <xf numFmtId="0" fontId="17" fillId="3" borderId="0" xfId="0" quotePrefix="1" applyFont="1" applyFill="1" applyAlignment="1">
      <alignment horizontal="center"/>
    </xf>
    <xf numFmtId="165" fontId="17" fillId="2" borderId="0" xfId="0" quotePrefix="1" applyNumberFormat="1" applyFont="1" applyFill="1" applyAlignment="1">
      <alignment horizontal="center"/>
    </xf>
    <xf numFmtId="0" fontId="7" fillId="2" borderId="8" xfId="1" applyFont="1" applyFill="1" applyBorder="1" applyAlignment="1">
      <alignment horizontal="left" indent="32"/>
    </xf>
    <xf numFmtId="165" fontId="0" fillId="2" borderId="0" xfId="0" applyNumberFormat="1" applyFill="1" applyAlignment="1">
      <alignment horizontal="center"/>
    </xf>
    <xf numFmtId="174" fontId="0" fillId="2" borderId="0" xfId="0" applyNumberFormat="1" applyFill="1" applyAlignment="1">
      <alignment horizontal="center"/>
    </xf>
    <xf numFmtId="0" fontId="0" fillId="3" borderId="0" xfId="0" applyFill="1" applyAlignment="1">
      <alignment horizontal="center" vertical="center"/>
    </xf>
    <xf numFmtId="174" fontId="0" fillId="2" borderId="0" xfId="0" applyNumberFormat="1" applyFill="1" applyAlignment="1">
      <alignment horizontal="center" vertical="center"/>
    </xf>
    <xf numFmtId="0" fontId="19" fillId="2" borderId="0" xfId="1" applyFont="1" applyFill="1" applyAlignment="1">
      <alignment horizontal="left" vertical="center"/>
    </xf>
    <xf numFmtId="0" fontId="21" fillId="0" borderId="0" xfId="2" applyFont="1" applyAlignment="1">
      <alignment horizontal="left" vertical="top"/>
    </xf>
    <xf numFmtId="0" fontId="22" fillId="2" borderId="0" xfId="1" applyFont="1" applyFill="1" applyAlignment="1">
      <alignment horizontal="left" vertical="top"/>
    </xf>
    <xf numFmtId="0" fontId="1" fillId="2" borderId="0" xfId="0" applyFont="1" applyFill="1" applyAlignment="1">
      <alignment horizontal="left" vertical="top"/>
    </xf>
    <xf numFmtId="0" fontId="8" fillId="0" borderId="0" xfId="2" applyAlignment="1">
      <alignment horizontal="left" vertical="top"/>
    </xf>
    <xf numFmtId="0" fontId="0" fillId="2" borderId="0" xfId="0" applyFill="1" applyAlignment="1">
      <alignment horizontal="center" vertical="top"/>
    </xf>
    <xf numFmtId="0" fontId="23" fillId="0" borderId="0" xfId="0" applyFont="1" applyAlignment="1">
      <alignment horizontal="left" vertical="top"/>
    </xf>
    <xf numFmtId="0" fontId="1" fillId="0" borderId="2" xfId="0" applyFont="1" applyBorder="1" applyAlignment="1">
      <alignment horizontal="left"/>
    </xf>
    <xf numFmtId="0" fontId="8" fillId="0" borderId="7" xfId="2" applyFill="1" applyBorder="1" applyAlignment="1">
      <alignment horizontal="center"/>
    </xf>
    <xf numFmtId="0" fontId="7" fillId="0" borderId="8" xfId="1" applyFont="1" applyBorder="1" applyAlignment="1">
      <alignment horizontal="left" indent="32"/>
    </xf>
    <xf numFmtId="165" fontId="17" fillId="0" borderId="0" xfId="0" quotePrefix="1" applyNumberFormat="1" applyFont="1" applyAlignment="1">
      <alignment horizontal="center"/>
    </xf>
    <xf numFmtId="0" fontId="7" fillId="2" borderId="5" xfId="1" applyFont="1" applyFill="1" applyBorder="1"/>
    <xf numFmtId="174" fontId="0" fillId="2" borderId="0" xfId="0" applyNumberFormat="1" applyFill="1"/>
    <xf numFmtId="0" fontId="7" fillId="0" borderId="7" xfId="1" applyFont="1" applyBorder="1" applyAlignment="1">
      <alignment horizontal="center"/>
    </xf>
    <xf numFmtId="165" fontId="14" fillId="3" borderId="0" xfId="0" quotePrefix="1" applyNumberFormat="1" applyFont="1" applyFill="1" applyAlignment="1">
      <alignment horizontal="center"/>
    </xf>
    <xf numFmtId="165" fontId="14" fillId="0" borderId="0" xfId="0" quotePrefix="1" applyNumberFormat="1" applyFont="1" applyAlignment="1">
      <alignment horizontal="center"/>
    </xf>
    <xf numFmtId="174" fontId="14" fillId="0" borderId="0" xfId="0" quotePrefix="1" applyNumberFormat="1" applyFont="1" applyAlignment="1">
      <alignment horizontal="center"/>
    </xf>
    <xf numFmtId="166" fontId="14" fillId="0" borderId="0" xfId="0" quotePrefix="1" applyNumberFormat="1" applyFont="1" applyAlignment="1">
      <alignment horizontal="center"/>
    </xf>
    <xf numFmtId="11" fontId="14" fillId="0" borderId="0" xfId="0" quotePrefix="1" applyNumberFormat="1" applyFont="1" applyAlignment="1">
      <alignment horizontal="center"/>
    </xf>
    <xf numFmtId="166" fontId="14" fillId="3" borderId="0" xfId="0" quotePrefix="1" applyNumberFormat="1" applyFont="1" applyFill="1" applyAlignment="1">
      <alignment horizontal="center"/>
    </xf>
    <xf numFmtId="2" fontId="14" fillId="0" borderId="0" xfId="0" quotePrefix="1" applyNumberFormat="1" applyFont="1" applyAlignment="1">
      <alignment horizontal="center"/>
    </xf>
    <xf numFmtId="166" fontId="14" fillId="2" borderId="0" xfId="0" quotePrefix="1" applyNumberFormat="1" applyFont="1" applyFill="1" applyAlignment="1">
      <alignment horizontal="center"/>
    </xf>
    <xf numFmtId="164" fontId="14" fillId="0" borderId="0" xfId="0" applyNumberFormat="1" applyFont="1" applyAlignment="1">
      <alignment horizontal="center"/>
    </xf>
    <xf numFmtId="2" fontId="14" fillId="3" borderId="0" xfId="0" quotePrefix="1" applyNumberFormat="1" applyFont="1" applyFill="1" applyAlignment="1">
      <alignment horizontal="center"/>
    </xf>
    <xf numFmtId="165" fontId="14" fillId="0" borderId="0" xfId="0" applyNumberFormat="1" applyFont="1" applyAlignment="1">
      <alignment horizontal="center"/>
    </xf>
    <xf numFmtId="172" fontId="14" fillId="3" borderId="0" xfId="0" quotePrefix="1" applyNumberFormat="1" applyFont="1" applyFill="1" applyAlignment="1">
      <alignment horizontal="center"/>
    </xf>
    <xf numFmtId="164" fontId="14" fillId="0" borderId="0" xfId="0" quotePrefix="1" applyNumberFormat="1" applyFont="1" applyAlignment="1">
      <alignment horizontal="center"/>
    </xf>
    <xf numFmtId="11" fontId="14" fillId="3" borderId="0" xfId="0" quotePrefix="1" applyNumberFormat="1" applyFont="1" applyFill="1" applyAlignment="1">
      <alignment horizontal="center"/>
    </xf>
    <xf numFmtId="171" fontId="14" fillId="0" borderId="0" xfId="0" quotePrefix="1" applyNumberFormat="1" applyFont="1" applyAlignment="1">
      <alignment horizontal="center"/>
    </xf>
    <xf numFmtId="168" fontId="14" fillId="0" borderId="0" xfId="0" applyNumberFormat="1" applyFont="1" applyAlignment="1">
      <alignment horizontal="center"/>
    </xf>
    <xf numFmtId="2" fontId="14" fillId="0" borderId="0" xfId="0" applyNumberFormat="1" applyFont="1" applyAlignment="1">
      <alignment horizontal="center"/>
    </xf>
    <xf numFmtId="169" fontId="14" fillId="3" borderId="0" xfId="0" quotePrefix="1" applyNumberFormat="1" applyFont="1" applyFill="1" applyAlignment="1">
      <alignment horizontal="center"/>
    </xf>
    <xf numFmtId="171" fontId="14" fillId="3" borderId="0" xfId="0" quotePrefix="1" applyNumberFormat="1" applyFont="1" applyFill="1" applyAlignment="1">
      <alignment horizontal="center"/>
    </xf>
    <xf numFmtId="167" fontId="14" fillId="0" borderId="0" xfId="0" quotePrefix="1" applyNumberFormat="1" applyFont="1" applyAlignment="1">
      <alignment horizontal="center"/>
    </xf>
    <xf numFmtId="11" fontId="0" fillId="0" borderId="0" xfId="0" quotePrefix="1" applyNumberFormat="1" applyAlignment="1">
      <alignment horizontal="center"/>
    </xf>
    <xf numFmtId="170" fontId="14" fillId="3" borderId="0" xfId="0" quotePrefix="1" applyNumberFormat="1" applyFont="1" applyFill="1" applyAlignment="1">
      <alignment horizontal="center"/>
    </xf>
    <xf numFmtId="173" fontId="0" fillId="3" borderId="0" xfId="0" quotePrefix="1" applyNumberFormat="1" applyFill="1" applyAlignment="1">
      <alignment horizontal="center"/>
    </xf>
    <xf numFmtId="1" fontId="14" fillId="0" borderId="0" xfId="0" quotePrefix="1" applyNumberFormat="1" applyFont="1" applyAlignment="1">
      <alignment horizontal="center"/>
    </xf>
    <xf numFmtId="0" fontId="14" fillId="0" borderId="0" xfId="0" applyFont="1" applyAlignment="1">
      <alignment horizontal="center"/>
    </xf>
    <xf numFmtId="0" fontId="7" fillId="2" borderId="8" xfId="1" applyFont="1" applyFill="1" applyBorder="1"/>
    <xf numFmtId="0" fontId="12" fillId="2" borderId="7" xfId="0" applyFont="1" applyFill="1" applyBorder="1" applyAlignment="1">
      <alignment horizontal="center"/>
    </xf>
    <xf numFmtId="0" fontId="20" fillId="0" borderId="0" xfId="0" applyFont="1" applyAlignment="1">
      <alignment horizontal="left" indent="2"/>
    </xf>
    <xf numFmtId="0" fontId="20" fillId="2" borderId="0" xfId="0" applyFont="1" applyFill="1" applyAlignment="1">
      <alignment horizontal="center"/>
    </xf>
    <xf numFmtId="0" fontId="22" fillId="2" borderId="0" xfId="1" applyFont="1" applyFill="1" applyAlignment="1">
      <alignment horizontal="left" indent="2"/>
    </xf>
    <xf numFmtId="0" fontId="21" fillId="2" borderId="0" xfId="2" applyFont="1" applyFill="1" applyAlignment="1">
      <alignment horizontal="left" vertical="top"/>
    </xf>
    <xf numFmtId="0" fontId="14" fillId="2" borderId="0" xfId="0" applyFont="1" applyFill="1" applyAlignment="1">
      <alignment horizontal="center"/>
    </xf>
    <xf numFmtId="0" fontId="0" fillId="0" borderId="0" xfId="0" applyAlignment="1">
      <alignment vertical="top"/>
    </xf>
    <xf numFmtId="0" fontId="14" fillId="2" borderId="0" xfId="0" applyFont="1" applyFill="1" applyAlignment="1">
      <alignment horizontal="right"/>
    </xf>
    <xf numFmtId="0" fontId="20" fillId="0" borderId="0" xfId="0" applyFont="1" applyAlignment="1">
      <alignment vertical="center"/>
    </xf>
    <xf numFmtId="0" fontId="20" fillId="0" borderId="0" xfId="0" applyFont="1" applyAlignment="1">
      <alignment horizontal="left" vertical="center" indent="2"/>
    </xf>
    <xf numFmtId="0" fontId="17" fillId="2" borderId="0" xfId="1" applyFont="1" applyFill="1" applyAlignment="1">
      <alignment horizontal="left" vertical="center" indent="2"/>
    </xf>
    <xf numFmtId="11" fontId="15" fillId="2" borderId="0" xfId="1" quotePrefix="1" applyNumberFormat="1" applyFont="1" applyFill="1" applyAlignment="1">
      <alignment horizontal="center" vertical="center"/>
    </xf>
    <xf numFmtId="0" fontId="7" fillId="2" borderId="0" xfId="1" applyFont="1" applyFill="1" applyAlignment="1">
      <alignment horizontal="right"/>
    </xf>
    <xf numFmtId="11" fontId="15" fillId="2" borderId="0" xfId="1" applyNumberFormat="1" applyFont="1" applyFill="1" applyAlignment="1">
      <alignment horizontal="center"/>
    </xf>
    <xf numFmtId="0" fontId="15" fillId="2" borderId="0" xfId="1" applyFont="1" applyFill="1" applyAlignment="1">
      <alignment horizontal="left"/>
    </xf>
    <xf numFmtId="0" fontId="16" fillId="0" borderId="0" xfId="0" applyFont="1" applyAlignment="1">
      <alignment horizontal="left"/>
    </xf>
    <xf numFmtId="0" fontId="6" fillId="0" borderId="2" xfId="1" applyFont="1" applyBorder="1" applyAlignment="1">
      <alignment horizontal="left"/>
    </xf>
    <xf numFmtId="0" fontId="7" fillId="0" borderId="2" xfId="1" applyFont="1" applyBorder="1" applyAlignment="1">
      <alignment horizontal="center"/>
    </xf>
    <xf numFmtId="0" fontId="7" fillId="0" borderId="3" xfId="1" applyFont="1" applyBorder="1"/>
    <xf numFmtId="0" fontId="7" fillId="0" borderId="5" xfId="1" applyFont="1" applyBorder="1"/>
    <xf numFmtId="165" fontId="14" fillId="0" borderId="8" xfId="0" quotePrefix="1" applyNumberFormat="1" applyFont="1" applyBorder="1" applyAlignment="1">
      <alignment horizontal="center"/>
    </xf>
    <xf numFmtId="166" fontId="17" fillId="0" borderId="0" xfId="0" quotePrefix="1" applyNumberFormat="1" applyFont="1" applyAlignment="1">
      <alignment horizontal="center"/>
    </xf>
    <xf numFmtId="166" fontId="17" fillId="2" borderId="0" xfId="0" quotePrefix="1" applyNumberFormat="1" applyFont="1" applyFill="1" applyAlignment="1">
      <alignment horizontal="center"/>
    </xf>
    <xf numFmtId="166" fontId="17" fillId="3" borderId="0" xfId="0" quotePrefix="1" applyNumberFormat="1" applyFont="1" applyFill="1" applyAlignment="1">
      <alignment horizontal="center"/>
    </xf>
    <xf numFmtId="0" fontId="7" fillId="2" borderId="1" xfId="1" applyFont="1" applyFill="1" applyBorder="1" applyAlignment="1">
      <alignment horizontal="left" indent="2"/>
    </xf>
    <xf numFmtId="0" fontId="12" fillId="0" borderId="0" xfId="0" applyFont="1"/>
    <xf numFmtId="0" fontId="7" fillId="2" borderId="2" xfId="0" applyFont="1" applyFill="1" applyBorder="1" applyAlignment="1">
      <alignment horizontal="center"/>
    </xf>
    <xf numFmtId="11" fontId="0" fillId="3" borderId="3" xfId="0" quotePrefix="1" applyNumberFormat="1" applyFill="1" applyBorder="1" applyAlignment="1">
      <alignment horizontal="center"/>
    </xf>
    <xf numFmtId="0" fontId="7" fillId="2" borderId="7" xfId="0" applyFont="1" applyFill="1" applyBorder="1"/>
    <xf numFmtId="0" fontId="7" fillId="2" borderId="0" xfId="0" applyFont="1" applyFill="1"/>
    <xf numFmtId="167" fontId="17" fillId="3" borderId="0" xfId="0" quotePrefix="1" applyNumberFormat="1" applyFont="1" applyFill="1" applyAlignment="1">
      <alignment horizontal="center"/>
    </xf>
    <xf numFmtId="11" fontId="0" fillId="3" borderId="8" xfId="0" quotePrefix="1" applyNumberFormat="1" applyFill="1" applyBorder="1" applyAlignment="1">
      <alignment horizontal="center"/>
    </xf>
    <xf numFmtId="11" fontId="17" fillId="3" borderId="7" xfId="0" quotePrefix="1" applyNumberFormat="1" applyFont="1" applyFill="1" applyBorder="1" applyAlignment="1">
      <alignment horizontal="center"/>
    </xf>
    <xf numFmtId="11" fontId="17" fillId="3" borderId="0" xfId="0" quotePrefix="1" applyNumberFormat="1" applyFont="1" applyFill="1" applyAlignment="1">
      <alignment horizontal="center"/>
    </xf>
    <xf numFmtId="11" fontId="17" fillId="2" borderId="0" xfId="0" quotePrefix="1" applyNumberFormat="1" applyFont="1" applyFill="1" applyAlignment="1">
      <alignment horizontal="center"/>
    </xf>
    <xf numFmtId="0" fontId="17" fillId="2" borderId="8" xfId="0" applyFont="1" applyFill="1" applyBorder="1" applyAlignment="1">
      <alignment horizontal="center"/>
    </xf>
    <xf numFmtId="165" fontId="17" fillId="3" borderId="7" xfId="0" quotePrefix="1" applyNumberFormat="1" applyFont="1" applyFill="1" applyBorder="1" applyAlignment="1">
      <alignment horizontal="center"/>
    </xf>
    <xf numFmtId="165" fontId="17" fillId="3" borderId="0" xfId="0" quotePrefix="1" applyNumberFormat="1" applyFont="1" applyFill="1" applyAlignment="1">
      <alignment horizontal="center"/>
    </xf>
    <xf numFmtId="174" fontId="17" fillId="2" borderId="0" xfId="0" quotePrefix="1" applyNumberFormat="1" applyFont="1" applyFill="1" applyAlignment="1">
      <alignment horizontal="center"/>
    </xf>
    <xf numFmtId="167" fontId="17" fillId="2" borderId="0" xfId="0" quotePrefix="1" applyNumberFormat="1" applyFont="1" applyFill="1" applyAlignment="1">
      <alignment horizontal="center"/>
    </xf>
    <xf numFmtId="164" fontId="17" fillId="2" borderId="0" xfId="0" quotePrefix="1" applyNumberFormat="1" applyFont="1" applyFill="1" applyAlignment="1">
      <alignment horizontal="center"/>
    </xf>
    <xf numFmtId="11" fontId="17" fillId="3" borderId="8" xfId="0" quotePrefix="1" applyNumberFormat="1" applyFont="1" applyFill="1" applyBorder="1" applyAlignment="1">
      <alignment horizontal="center"/>
    </xf>
    <xf numFmtId="0" fontId="17" fillId="0" borderId="0" xfId="0" applyFont="1"/>
    <xf numFmtId="0" fontId="7" fillId="2" borderId="4" xfId="0" applyFont="1" applyFill="1" applyBorder="1"/>
    <xf numFmtId="0" fontId="7" fillId="2" borderId="5" xfId="0" applyFont="1" applyFill="1" applyBorder="1"/>
    <xf numFmtId="0" fontId="7" fillId="2" borderId="5" xfId="0" applyFont="1" applyFill="1" applyBorder="1" applyAlignment="1">
      <alignment horizontal="center"/>
    </xf>
    <xf numFmtId="0" fontId="7" fillId="2" borderId="6" xfId="0" applyFont="1" applyFill="1" applyBorder="1"/>
    <xf numFmtId="0" fontId="21" fillId="0" borderId="0" xfId="2" applyFont="1" applyAlignment="1">
      <alignment horizontal="right" vertical="top"/>
    </xf>
    <xf numFmtId="0" fontId="17" fillId="0" borderId="1" xfId="0" applyFont="1" applyBorder="1" applyAlignment="1">
      <alignment horizontal="center"/>
    </xf>
    <xf numFmtId="0" fontId="17" fillId="0" borderId="4" xfId="0" applyFont="1" applyBorder="1" applyAlignment="1">
      <alignment horizontal="center"/>
    </xf>
    <xf numFmtId="0" fontId="20" fillId="0" borderId="0" xfId="0" applyFont="1" applyAlignment="1">
      <alignment horizontal="left" vertical="center" wrapText="1" indent="2"/>
    </xf>
    <xf numFmtId="0" fontId="21" fillId="0" borderId="0" xfId="2" applyFont="1" applyBorder="1" applyAlignment="1">
      <alignment horizontal="left" indent="2"/>
    </xf>
    <xf numFmtId="0" fontId="1" fillId="0" borderId="2" xfId="0" applyFont="1" applyBorder="1" applyAlignment="1">
      <alignment horizontal="center"/>
    </xf>
    <xf numFmtId="174" fontId="0" fillId="0" borderId="0" xfId="0" quotePrefix="1" applyNumberFormat="1" applyAlignment="1">
      <alignment horizontal="center"/>
    </xf>
    <xf numFmtId="0" fontId="1" fillId="0" borderId="0" xfId="0" quotePrefix="1" applyFont="1" applyAlignment="1">
      <alignment horizontal="center"/>
    </xf>
    <xf numFmtId="174" fontId="0" fillId="0" borderId="5" xfId="0" applyNumberFormat="1" applyBorder="1" applyAlignment="1">
      <alignment horizontal="center"/>
    </xf>
    <xf numFmtId="174" fontId="0" fillId="0" borderId="2" xfId="0" applyNumberFormat="1" applyBorder="1" applyAlignment="1">
      <alignment horizontal="center"/>
    </xf>
    <xf numFmtId="174" fontId="0" fillId="0" borderId="0" xfId="0" applyNumberFormat="1" applyAlignment="1">
      <alignment horizontal="center"/>
    </xf>
    <xf numFmtId="174" fontId="0" fillId="0" borderId="0" xfId="0" applyNumberFormat="1" applyAlignment="1">
      <alignment horizontal="center" vertical="center"/>
    </xf>
    <xf numFmtId="167" fontId="0" fillId="0" borderId="0" xfId="0" quotePrefix="1" applyNumberFormat="1" applyAlignment="1">
      <alignment horizontal="center"/>
    </xf>
    <xf numFmtId="167" fontId="0" fillId="0" borderId="5" xfId="0" quotePrefix="1" applyNumberFormat="1" applyBorder="1" applyAlignment="1">
      <alignment horizontal="center"/>
    </xf>
    <xf numFmtId="167" fontId="0" fillId="0" borderId="2" xfId="0" quotePrefix="1" applyNumberFormat="1" applyBorder="1" applyAlignment="1">
      <alignment horizontal="center"/>
    </xf>
    <xf numFmtId="167" fontId="17" fillId="0" borderId="0" xfId="0" quotePrefix="1" applyNumberFormat="1" applyFont="1" applyAlignment="1">
      <alignment horizontal="center"/>
    </xf>
    <xf numFmtId="0" fontId="3" fillId="2" borderId="3" xfId="1" applyFont="1" applyFill="1" applyBorder="1" applyAlignment="1">
      <alignment vertical="center"/>
    </xf>
    <xf numFmtId="0" fontId="32" fillId="2" borderId="3" xfId="0" applyFont="1" applyFill="1" applyBorder="1" applyAlignment="1">
      <alignment horizontal="center" vertical="center"/>
    </xf>
    <xf numFmtId="0" fontId="33" fillId="3" borderId="2" xfId="0" applyFont="1" applyFill="1" applyBorder="1" applyAlignment="1">
      <alignment horizontal="center"/>
    </xf>
    <xf numFmtId="0" fontId="33" fillId="2" borderId="1" xfId="0" applyFont="1" applyFill="1" applyBorder="1" applyAlignment="1">
      <alignment horizontal="center"/>
    </xf>
    <xf numFmtId="0" fontId="33" fillId="2" borderId="2" xfId="0" applyFont="1" applyFill="1" applyBorder="1" applyAlignment="1">
      <alignment horizontal="center"/>
    </xf>
    <xf numFmtId="0" fontId="33" fillId="0" borderId="2" xfId="0" applyFont="1" applyBorder="1" applyAlignment="1">
      <alignment horizontal="center"/>
    </xf>
    <xf numFmtId="0" fontId="33" fillId="3" borderId="3" xfId="0" applyFont="1" applyFill="1" applyBorder="1" applyAlignment="1">
      <alignment horizontal="center"/>
    </xf>
    <xf numFmtId="0" fontId="33" fillId="3" borderId="1" xfId="0" applyFont="1" applyFill="1" applyBorder="1" applyAlignment="1">
      <alignment horizontal="center"/>
    </xf>
    <xf numFmtId="0" fontId="3" fillId="2" borderId="7" xfId="1" applyFont="1" applyFill="1" applyBorder="1" applyAlignment="1">
      <alignment horizontal="left" vertical="center" indent="2"/>
    </xf>
    <xf numFmtId="0" fontId="32" fillId="2" borderId="8" xfId="0" applyFont="1" applyFill="1" applyBorder="1" applyAlignment="1">
      <alignment horizontal="center" vertical="center"/>
    </xf>
    <xf numFmtId="0" fontId="33" fillId="3" borderId="0" xfId="0" applyFont="1" applyFill="1" applyAlignment="1">
      <alignment horizontal="center"/>
    </xf>
    <xf numFmtId="0" fontId="33" fillId="2" borderId="7" xfId="0" applyFont="1" applyFill="1" applyBorder="1" applyAlignment="1">
      <alignment horizontal="center"/>
    </xf>
    <xf numFmtId="0" fontId="33" fillId="2" borderId="0" xfId="0" applyFont="1" applyFill="1" applyAlignment="1">
      <alignment horizontal="center"/>
    </xf>
    <xf numFmtId="0" fontId="33" fillId="0" borderId="0" xfId="0" applyFont="1" applyAlignment="1">
      <alignment horizontal="center"/>
    </xf>
    <xf numFmtId="0" fontId="33" fillId="3" borderId="8" xfId="0" applyFont="1" applyFill="1" applyBorder="1" applyAlignment="1">
      <alignment horizontal="center"/>
    </xf>
    <xf numFmtId="0" fontId="33" fillId="3" borderId="7" xfId="0" applyFont="1" applyFill="1" applyBorder="1" applyAlignment="1">
      <alignment horizontal="center"/>
    </xf>
    <xf numFmtId="171" fontId="0" fillId="3" borderId="7" xfId="0" quotePrefix="1" applyNumberFormat="1" applyFill="1" applyBorder="1" applyAlignment="1">
      <alignment horizontal="center"/>
    </xf>
    <xf numFmtId="171" fontId="0" fillId="3" borderId="0" xfId="0" quotePrefix="1" applyNumberFormat="1" applyFill="1" applyAlignment="1">
      <alignment horizontal="center"/>
    </xf>
    <xf numFmtId="11" fontId="0" fillId="2" borderId="7" xfId="0" quotePrefix="1" applyNumberFormat="1" applyFill="1" applyBorder="1" applyAlignment="1">
      <alignment horizontal="center"/>
    </xf>
    <xf numFmtId="171" fontId="0" fillId="0" borderId="0" xfId="0" quotePrefix="1" applyNumberFormat="1" applyAlignment="1">
      <alignment horizontal="center"/>
    </xf>
    <xf numFmtId="171" fontId="33" fillId="3" borderId="0" xfId="0" applyNumberFormat="1" applyFont="1" applyFill="1" applyAlignment="1">
      <alignment horizontal="center"/>
    </xf>
    <xf numFmtId="0" fontId="3" fillId="2" borderId="6" xfId="1" applyFont="1" applyFill="1" applyBorder="1" applyAlignment="1">
      <alignment vertical="center"/>
    </xf>
    <xf numFmtId="0" fontId="32" fillId="2" borderId="6" xfId="0" applyFont="1" applyFill="1" applyBorder="1" applyAlignment="1">
      <alignment horizontal="center" vertical="center"/>
    </xf>
    <xf numFmtId="0" fontId="33" fillId="3" borderId="5" xfId="0" applyFont="1" applyFill="1" applyBorder="1" applyAlignment="1">
      <alignment horizontal="center"/>
    </xf>
    <xf numFmtId="0" fontId="33" fillId="2" borderId="4" xfId="0" applyFont="1" applyFill="1" applyBorder="1" applyAlignment="1">
      <alignment horizontal="center"/>
    </xf>
    <xf numFmtId="0" fontId="33" fillId="2" borderId="5" xfId="0" applyFont="1" applyFill="1" applyBorder="1" applyAlignment="1">
      <alignment horizontal="center"/>
    </xf>
    <xf numFmtId="0" fontId="33" fillId="0" borderId="5" xfId="0" applyFont="1" applyBorder="1" applyAlignment="1">
      <alignment horizontal="center"/>
    </xf>
    <xf numFmtId="0" fontId="33" fillId="3" borderId="6" xfId="0" applyFont="1" applyFill="1" applyBorder="1" applyAlignment="1">
      <alignment horizontal="center"/>
    </xf>
    <xf numFmtId="0" fontId="33" fillId="3" borderId="4" xfId="0" applyFont="1" applyFill="1" applyBorder="1" applyAlignment="1">
      <alignment horizontal="center"/>
    </xf>
    <xf numFmtId="0" fontId="6" fillId="0" borderId="0" xfId="1" applyFont="1" applyAlignment="1">
      <alignment horizontal="left"/>
    </xf>
    <xf numFmtId="0" fontId="3" fillId="0" borderId="0" xfId="1" applyFont="1" applyAlignment="1">
      <alignment horizontal="center" vertical="center"/>
    </xf>
    <xf numFmtId="0" fontId="3" fillId="0" borderId="8" xfId="1" applyFont="1" applyBorder="1" applyAlignment="1">
      <alignment vertical="center"/>
    </xf>
    <xf numFmtId="0" fontId="3" fillId="0" borderId="7" xfId="1" applyFont="1" applyBorder="1" applyAlignment="1">
      <alignment horizontal="center" vertical="center"/>
    </xf>
    <xf numFmtId="0" fontId="35" fillId="0" borderId="0" xfId="0" applyFont="1"/>
    <xf numFmtId="0" fontId="35" fillId="2" borderId="0" xfId="0" quotePrefix="1" applyFont="1" applyFill="1" applyAlignment="1">
      <alignment horizontal="center"/>
    </xf>
    <xf numFmtId="0" fontId="7" fillId="0" borderId="0" xfId="0" applyFont="1" applyAlignment="1">
      <alignment horizontal="center"/>
    </xf>
    <xf numFmtId="174" fontId="17" fillId="3" borderId="0" xfId="0" quotePrefix="1" applyNumberFormat="1" applyFont="1" applyFill="1" applyAlignment="1">
      <alignment horizontal="center"/>
    </xf>
    <xf numFmtId="0" fontId="17" fillId="2" borderId="8" xfId="0" quotePrefix="1" applyFont="1" applyFill="1" applyBorder="1" applyAlignment="1">
      <alignment horizontal="center"/>
    </xf>
    <xf numFmtId="0" fontId="17" fillId="2" borderId="7" xfId="0" applyFont="1" applyFill="1" applyBorder="1" applyAlignment="1">
      <alignment horizontal="center"/>
    </xf>
    <xf numFmtId="0" fontId="35" fillId="2" borderId="0" xfId="0" applyFont="1" applyFill="1"/>
    <xf numFmtId="0" fontId="35" fillId="2" borderId="0" xfId="0" applyFont="1" applyFill="1" applyAlignment="1">
      <alignment horizontal="center"/>
    </xf>
    <xf numFmtId="0" fontId="35" fillId="0" borderId="0" xfId="0" applyFont="1" applyAlignment="1">
      <alignment horizontal="right"/>
    </xf>
    <xf numFmtId="0" fontId="36" fillId="0" borderId="0" xfId="0" applyFont="1" applyAlignment="1">
      <alignment horizontal="left" vertical="top"/>
    </xf>
    <xf numFmtId="0" fontId="37" fillId="0" borderId="0" xfId="2" applyFont="1" applyBorder="1" applyAlignment="1">
      <alignment horizontal="left" vertical="top"/>
    </xf>
    <xf numFmtId="0" fontId="36" fillId="2" borderId="0" xfId="0" applyFont="1" applyFill="1" applyAlignment="1">
      <alignment horizontal="left" vertical="top" wrapText="1"/>
    </xf>
    <xf numFmtId="0" fontId="36" fillId="2" borderId="0" xfId="0" applyFont="1" applyFill="1" applyAlignment="1">
      <alignment horizontal="left" vertical="center" wrapText="1" indent="2"/>
    </xf>
    <xf numFmtId="0" fontId="37" fillId="0" borderId="0" xfId="2" applyFont="1" applyBorder="1" applyAlignment="1">
      <alignment horizontal="right" vertical="top"/>
    </xf>
    <xf numFmtId="0" fontId="17" fillId="0" borderId="0" xfId="0" applyFont="1" applyAlignment="1">
      <alignment horizontal="right"/>
    </xf>
    <xf numFmtId="0" fontId="26" fillId="0" borderId="0" xfId="0" applyFont="1" applyAlignment="1">
      <alignment horizontal="right" vertical="top"/>
    </xf>
    <xf numFmtId="0" fontId="26" fillId="0" borderId="0" xfId="2" applyFont="1" applyAlignment="1">
      <alignment vertical="top"/>
    </xf>
    <xf numFmtId="0" fontId="26" fillId="0" borderId="0" xfId="0" applyFont="1" applyAlignment="1">
      <alignment horizontal="left" vertical="top"/>
    </xf>
    <xf numFmtId="0" fontId="38" fillId="0" borderId="0" xfId="2" applyFont="1" applyBorder="1" applyAlignment="1">
      <alignment horizontal="left" vertical="top"/>
    </xf>
    <xf numFmtId="0" fontId="26" fillId="2" borderId="0" xfId="0" applyFont="1" applyFill="1" applyAlignment="1">
      <alignment horizontal="left" vertical="top" wrapText="1"/>
    </xf>
    <xf numFmtId="0" fontId="26" fillId="2" borderId="0" xfId="0" applyFont="1" applyFill="1" applyAlignment="1">
      <alignment horizontal="left" vertical="center" wrapText="1" indent="2"/>
    </xf>
    <xf numFmtId="0" fontId="17" fillId="2" borderId="0" xfId="0" applyFont="1" applyFill="1"/>
    <xf numFmtId="0" fontId="17" fillId="2" borderId="0" xfId="0" applyFont="1" applyFill="1" applyAlignment="1">
      <alignment horizontal="center"/>
    </xf>
    <xf numFmtId="0" fontId="20" fillId="2" borderId="0" xfId="0" applyFont="1" applyFill="1" applyAlignment="1">
      <alignment horizontal="left" vertical="top" wrapText="1"/>
    </xf>
    <xf numFmtId="0" fontId="9" fillId="0" borderId="0" xfId="0" applyFont="1" applyAlignment="1">
      <alignment horizontal="left" indent="2"/>
    </xf>
    <xf numFmtId="0" fontId="3" fillId="2" borderId="2" xfId="1" applyFont="1" applyFill="1" applyBorder="1" applyAlignment="1">
      <alignment horizontal="left" vertical="center"/>
    </xf>
    <xf numFmtId="0" fontId="3" fillId="2" borderId="5" xfId="1" applyFont="1" applyFill="1" applyBorder="1" applyAlignment="1">
      <alignment horizontal="left" vertical="center"/>
    </xf>
    <xf numFmtId="0" fontId="3" fillId="2" borderId="2"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1" xfId="1" applyFont="1" applyFill="1" applyBorder="1" applyAlignment="1">
      <alignment horizontal="left" vertical="center" indent="2"/>
    </xf>
    <xf numFmtId="0" fontId="3" fillId="2" borderId="4" xfId="1" applyFont="1" applyFill="1" applyBorder="1" applyAlignment="1">
      <alignment horizontal="left" vertical="center" indent="2"/>
    </xf>
    <xf numFmtId="0" fontId="0" fillId="0" borderId="0" xfId="0" applyAlignment="1">
      <alignment wrapText="1"/>
    </xf>
    <xf numFmtId="0" fontId="22" fillId="2" borderId="0" xfId="1" applyFont="1" applyFill="1" applyAlignment="1">
      <alignment horizontal="left" vertical="top" wrapText="1"/>
    </xf>
    <xf numFmtId="0" fontId="21" fillId="2" borderId="0" xfId="2" applyFont="1" applyFill="1" applyBorder="1" applyAlignment="1">
      <alignment horizontal="left" vertical="top" wrapText="1"/>
    </xf>
    <xf numFmtId="0" fontId="9" fillId="2" borderId="0" xfId="0" applyFont="1" applyFill="1" applyAlignment="1">
      <alignment horizontal="left" indent="2"/>
    </xf>
    <xf numFmtId="0" fontId="20" fillId="0" borderId="0" xfId="0" applyFont="1" applyAlignment="1">
      <alignment horizontal="left" vertical="top" wrapText="1"/>
    </xf>
    <xf numFmtId="0" fontId="22" fillId="0" borderId="0" xfId="1" applyFont="1" applyAlignment="1">
      <alignment horizontal="left" vertical="top" wrapText="1"/>
    </xf>
    <xf numFmtId="0" fontId="26" fillId="0" borderId="0" xfId="2" applyFont="1" applyBorder="1" applyAlignment="1">
      <alignment horizontal="left" vertical="top" wrapText="1"/>
    </xf>
    <xf numFmtId="0" fontId="17" fillId="0" borderId="0" xfId="0" applyFont="1" applyAlignment="1">
      <alignment horizontal="left" vertical="top" wrapText="1"/>
    </xf>
    <xf numFmtId="0" fontId="26" fillId="0" borderId="0" xfId="2" applyFont="1" applyAlignment="1">
      <alignment horizontal="left" vertical="top" wrapText="1"/>
    </xf>
    <xf numFmtId="0" fontId="4" fillId="0" borderId="12" xfId="0" applyFont="1" applyBorder="1" applyAlignment="1">
      <alignment horizontal="center"/>
    </xf>
    <xf numFmtId="0" fontId="5" fillId="2" borderId="13" xfId="0" applyFont="1" applyFill="1" applyBorder="1" applyAlignment="1">
      <alignment horizontal="center"/>
    </xf>
    <xf numFmtId="0" fontId="1" fillId="2" borderId="14" xfId="0" applyFont="1" applyFill="1" applyBorder="1" applyAlignment="1">
      <alignment horizontal="center"/>
    </xf>
    <xf numFmtId="0" fontId="0" fillId="2" borderId="15" xfId="0" applyFill="1" applyBorder="1"/>
    <xf numFmtId="0" fontId="0" fillId="2" borderId="15" xfId="0" applyFill="1" applyBorder="1" applyAlignment="1">
      <alignment horizontal="center"/>
    </xf>
    <xf numFmtId="0" fontId="0" fillId="2" borderId="14" xfId="0" applyFill="1" applyBorder="1" applyAlignment="1">
      <alignment horizontal="center"/>
    </xf>
    <xf numFmtId="0" fontId="0" fillId="2" borderId="13" xfId="0" applyFill="1" applyBorder="1" applyAlignment="1">
      <alignment horizontal="center"/>
    </xf>
    <xf numFmtId="0" fontId="0" fillId="2" borderId="14" xfId="0" applyFill="1" applyBorder="1"/>
    <xf numFmtId="0" fontId="0" fillId="2" borderId="13" xfId="0" applyFill="1" applyBorder="1"/>
    <xf numFmtId="0" fontId="32" fillId="2" borderId="13"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4" xfId="0" applyFont="1" applyFill="1" applyBorder="1" applyAlignment="1">
      <alignment horizontal="center" vertical="center"/>
    </xf>
    <xf numFmtId="0" fontId="0" fillId="0" borderId="15" xfId="0" quotePrefix="1" applyBorder="1" applyAlignment="1">
      <alignment horizontal="center"/>
    </xf>
    <xf numFmtId="0" fontId="0" fillId="0" borderId="15" xfId="0" applyBorder="1" applyAlignment="1">
      <alignment horizontal="center"/>
    </xf>
    <xf numFmtId="0" fontId="0" fillId="0" borderId="15" xfId="0" applyBorder="1"/>
    <xf numFmtId="0" fontId="0" fillId="0" borderId="13" xfId="0" applyBorder="1"/>
    <xf numFmtId="0" fontId="0" fillId="0" borderId="14" xfId="0" applyBorder="1" applyAlignment="1">
      <alignment horizontal="center"/>
    </xf>
    <xf numFmtId="0" fontId="0" fillId="0" borderId="13" xfId="0" applyBorder="1" applyAlignment="1">
      <alignment horizontal="center"/>
    </xf>
    <xf numFmtId="0" fontId="0" fillId="2" borderId="15" xfId="0" quotePrefix="1" applyFill="1" applyBorder="1" applyAlignment="1">
      <alignment horizontal="center"/>
    </xf>
    <xf numFmtId="164" fontId="0" fillId="0" borderId="0" xfId="0" quotePrefix="1" applyNumberFormat="1" applyAlignment="1">
      <alignment horizontal="center"/>
    </xf>
    <xf numFmtId="166" fontId="17" fillId="3" borderId="7" xfId="0" quotePrefix="1" applyNumberFormat="1" applyFont="1" applyFill="1" applyBorder="1" applyAlignment="1">
      <alignment horizontal="center"/>
    </xf>
    <xf numFmtId="174" fontId="17" fillId="3" borderId="8" xfId="0" quotePrefix="1" applyNumberFormat="1" applyFont="1" applyFill="1" applyBorder="1" applyAlignment="1">
      <alignment horizontal="center"/>
    </xf>
    <xf numFmtId="167" fontId="1" fillId="2" borderId="5" xfId="0" applyNumberFormat="1" applyFont="1" applyFill="1" applyBorder="1" applyAlignment="1">
      <alignment horizontal="center"/>
    </xf>
    <xf numFmtId="11" fontId="1" fillId="2" borderId="5" xfId="0" applyNumberFormat="1" applyFont="1" applyFill="1" applyBorder="1" applyAlignment="1">
      <alignment horizontal="center"/>
    </xf>
    <xf numFmtId="0" fontId="17" fillId="2" borderId="15" xfId="0" quotePrefix="1" applyFont="1" applyFill="1" applyBorder="1" applyAlignment="1">
      <alignment horizontal="center"/>
    </xf>
    <xf numFmtId="0" fontId="17" fillId="2" borderId="15" xfId="0" applyFont="1" applyFill="1" applyBorder="1" applyAlignment="1">
      <alignment horizontal="center"/>
    </xf>
    <xf numFmtId="175" fontId="17" fillId="2" borderId="0" xfId="0" quotePrefix="1" applyNumberFormat="1" applyFont="1" applyFill="1" applyAlignment="1">
      <alignment horizontal="center"/>
    </xf>
    <xf numFmtId="0" fontId="20" fillId="2" borderId="0" xfId="0" applyFont="1" applyFill="1" applyAlignment="1">
      <alignment horizontal="left" vertical="top" wrapText="1"/>
    </xf>
    <xf numFmtId="0" fontId="9" fillId="0" borderId="0" xfId="0" applyFont="1" applyAlignment="1">
      <alignment horizontal="left" indent="2"/>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2" borderId="2" xfId="1" applyFont="1" applyFill="1" applyBorder="1" applyAlignment="1">
      <alignment horizontal="left" vertical="center"/>
    </xf>
    <xf numFmtId="0" fontId="3" fillId="2" borderId="5" xfId="1" applyFont="1" applyFill="1" applyBorder="1" applyAlignment="1">
      <alignment horizontal="left" vertical="center"/>
    </xf>
    <xf numFmtId="0" fontId="3" fillId="2" borderId="2"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3" xfId="1" applyFont="1" applyFill="1" applyBorder="1" applyAlignment="1">
      <alignment horizontal="left" vertical="center" indent="2"/>
    </xf>
    <xf numFmtId="0" fontId="3" fillId="2" borderId="6" xfId="1" applyFont="1" applyFill="1" applyBorder="1" applyAlignment="1">
      <alignment horizontal="left" vertical="center" indent="2"/>
    </xf>
    <xf numFmtId="0" fontId="3" fillId="2" borderId="1" xfId="1" applyFont="1" applyFill="1" applyBorder="1" applyAlignment="1">
      <alignment horizontal="center" vertical="center"/>
    </xf>
    <xf numFmtId="0" fontId="3" fillId="2" borderId="4" xfId="1"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22" fillId="2" borderId="0" xfId="1" applyFont="1" applyFill="1" applyAlignment="1">
      <alignment horizontal="left" vertical="top" wrapText="1"/>
    </xf>
    <xf numFmtId="0" fontId="21" fillId="2" borderId="0" xfId="2" applyFont="1" applyFill="1" applyBorder="1" applyAlignment="1">
      <alignment horizontal="left" vertical="top" wrapText="1"/>
    </xf>
    <xf numFmtId="0" fontId="3" fillId="2" borderId="1" xfId="1" applyFont="1" applyFill="1" applyBorder="1" applyAlignment="1">
      <alignment horizontal="left" vertical="center" indent="2"/>
    </xf>
    <xf numFmtId="0" fontId="3" fillId="2" borderId="4" xfId="1" applyFont="1" applyFill="1" applyBorder="1" applyAlignment="1">
      <alignment horizontal="left" vertical="center" indent="2"/>
    </xf>
    <xf numFmtId="0" fontId="3" fillId="2" borderId="2" xfId="1" applyFont="1" applyFill="1" applyBorder="1" applyAlignment="1">
      <alignment horizontal="left" vertical="center" indent="2"/>
    </xf>
    <xf numFmtId="0" fontId="3" fillId="2" borderId="5" xfId="1" applyFont="1" applyFill="1" applyBorder="1" applyAlignment="1">
      <alignment horizontal="left" vertical="center" indent="2"/>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0" fillId="0" borderId="0" xfId="0" applyFont="1" applyAlignment="1">
      <alignment horizontal="left" vertical="top" wrapText="1"/>
    </xf>
    <xf numFmtId="0" fontId="0" fillId="0" borderId="0" xfId="0" applyAlignment="1">
      <alignment wrapText="1"/>
    </xf>
    <xf numFmtId="0" fontId="26" fillId="0" borderId="0" xfId="2" applyFont="1" applyAlignment="1">
      <alignment horizontal="left" vertical="top" wrapText="1"/>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21" fillId="2" borderId="0" xfId="2" applyFont="1" applyFill="1" applyAlignment="1">
      <alignment horizontal="left" vertical="top" wrapText="1"/>
    </xf>
    <xf numFmtId="0" fontId="22" fillId="0" borderId="0" xfId="1" applyFont="1" applyAlignment="1">
      <alignment horizontal="left" vertical="top" wrapText="1"/>
    </xf>
    <xf numFmtId="0" fontId="26" fillId="0" borderId="0" xfId="2" applyFont="1" applyBorder="1" applyAlignment="1">
      <alignment horizontal="left" vertical="top" wrapText="1"/>
    </xf>
    <xf numFmtId="0" fontId="17" fillId="0" borderId="0" xfId="0" applyFont="1" applyAlignment="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3.epa.gov/ttn/chief/ap42/ch01/final/c01s04.pdf" TargetMode="External"/><Relationship Id="rId7" Type="http://schemas.openxmlformats.org/officeDocument/2006/relationships/printerSettings" Target="../printerSettings/printerSettings1.bin"/><Relationship Id="rId2" Type="http://schemas.openxmlformats.org/officeDocument/2006/relationships/hyperlink" Target="http://www.vcapcd.org/pubs/Engineering/AirToxics/combem.pdf" TargetMode="External"/><Relationship Id="rId1" Type="http://schemas.openxmlformats.org/officeDocument/2006/relationships/hyperlink" Target="http://www.aqmd.gov/docs/default-source/planning/annual-emission-reporting/supplemental-instructions-for-ab2588-facilities.pdf" TargetMode="External"/><Relationship Id="rId6" Type="http://schemas.openxmlformats.org/officeDocument/2006/relationships/hyperlink" Target="https://gaftp.epa.gov/Air/aqmg/SCRAM/models/related/emshap/emshapv3ug.pdf" TargetMode="External"/><Relationship Id="rId5" Type="http://schemas.openxmlformats.org/officeDocument/2006/relationships/hyperlink" Target="http://www.aqmd.gov/docs/default-source/planning/annual-emission-reporting/supplemental-instructions-for-ab2588-facilities.pdf" TargetMode="External"/><Relationship Id="rId4" Type="http://schemas.openxmlformats.org/officeDocument/2006/relationships/hyperlink" Target="http://www.vcapcd.org/pubs/Engineering/AirToxics/combem.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3.epa.gov/ttn/chief/ap42/ch03/final/c03s01.pdf" TargetMode="External"/><Relationship Id="rId13" Type="http://schemas.openxmlformats.org/officeDocument/2006/relationships/hyperlink" Target="https://www3.epa.gov/ttn/chief/ap42/ch03/final/c03s02.pdf" TargetMode="External"/><Relationship Id="rId3" Type="http://schemas.openxmlformats.org/officeDocument/2006/relationships/hyperlink" Target="http://www.aqmd.gov/docs/default-source/planning/annual-emission-reporting/supplemental-instructions-for-ab2588-facilities.pdf" TargetMode="External"/><Relationship Id="rId7" Type="http://schemas.openxmlformats.org/officeDocument/2006/relationships/hyperlink" Target="https://www3.epa.gov/ttn/chief/ap42/ch03/final/c03s03.pdf" TargetMode="External"/><Relationship Id="rId12" Type="http://schemas.openxmlformats.org/officeDocument/2006/relationships/hyperlink" Target="http://www.valleyair.org/busind/pto/emission_factors/Criteria/Toxics/Internal%20Combustion/DigesterGasICEngine.xls" TargetMode="External"/><Relationship Id="rId17" Type="http://schemas.openxmlformats.org/officeDocument/2006/relationships/printerSettings" Target="../printerSettings/printerSettings2.bin"/><Relationship Id="rId2" Type="http://schemas.openxmlformats.org/officeDocument/2006/relationships/hyperlink" Target="http://www.aqmd.gov/docs/default-source/planning/annual-emission-reporting/supplemental-instructions-for-ab2588-facilities.pdf" TargetMode="External"/><Relationship Id="rId16" Type="http://schemas.openxmlformats.org/officeDocument/2006/relationships/hyperlink" Target="https://www.ourair.org/wp-content/uploads/PAH-and-Naphthalene-Emission-Factors-for-Natural-Gas-Fired-Turbines-Memo.pdf" TargetMode="External"/><Relationship Id="rId1" Type="http://schemas.openxmlformats.org/officeDocument/2006/relationships/hyperlink" Target="http://www.aqmd.gov/docs/default-source/planning/annual-emission-reporting/supplemental-instructions-for-ab2588-facilities.pdf" TargetMode="External"/><Relationship Id="rId6" Type="http://schemas.openxmlformats.org/officeDocument/2006/relationships/hyperlink" Target="http://www.aqmd.gov/docs/default-source/planning/annual-emission-reporting/supplemental-instructions-for-ab2588-facilities.pdf" TargetMode="External"/><Relationship Id="rId11" Type="http://schemas.openxmlformats.org/officeDocument/2006/relationships/hyperlink" Target="http://www.aqmd.gov/docs/default-source/planning/annual-emission-reporting/supplemental-instructions-for-ab2588-facilities.pdf" TargetMode="External"/><Relationship Id="rId5" Type="http://schemas.openxmlformats.org/officeDocument/2006/relationships/hyperlink" Target="http://www.aqmd.gov/docs/default-source/planning/annual-emission-reporting/supplemental-instructions-for-ab2588-facilities.pdf" TargetMode="External"/><Relationship Id="rId15" Type="http://schemas.openxmlformats.org/officeDocument/2006/relationships/hyperlink" Target="https://www3.epa.gov/ttn/chief/ap42/ch03/final/c03s01.pdf" TargetMode="External"/><Relationship Id="rId10" Type="http://schemas.openxmlformats.org/officeDocument/2006/relationships/hyperlink" Target="https://www.ourair.org/wp-content/uploads/Landfill-Gas-Fired-IC-Engine-Emission-Factor-Memo.pdf" TargetMode="External"/><Relationship Id="rId4" Type="http://schemas.openxmlformats.org/officeDocument/2006/relationships/hyperlink" Target="http://www.vcapcd.org/pubs/Engineering/AirToxics/combem.pdf" TargetMode="External"/><Relationship Id="rId9" Type="http://schemas.openxmlformats.org/officeDocument/2006/relationships/hyperlink" Target="https://www3.epa.gov/ttn/chief/ap42/ch03/final/c03s01.pdf" TargetMode="External"/><Relationship Id="rId14" Type="http://schemas.openxmlformats.org/officeDocument/2006/relationships/hyperlink" Target="http://www.aqmd.gov/docs/default-source/planning/annual-emission-reporting/supplemental-instructions-for-ab2588-facilitie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dapcd.org/content/dam/sdapcd/documents/permits/emissions-calculation/incinerator-and-crematory/APCD-Crematory-Natural-Gas-Fired-Animal-Remains-Controlled-Air.pdf" TargetMode="External"/><Relationship Id="rId3" Type="http://schemas.openxmlformats.org/officeDocument/2006/relationships/hyperlink" Target="http://www.vcapcd.org/pubs/Engineering/AirToxics/combem.pdf" TargetMode="External"/><Relationship Id="rId7" Type="http://schemas.openxmlformats.org/officeDocument/2006/relationships/hyperlink" Target="https://gaftp.epa.gov/Air/aqmg/SCRAM/models/related/emshap/emshapv3ug.pdf" TargetMode="External"/><Relationship Id="rId2" Type="http://schemas.openxmlformats.org/officeDocument/2006/relationships/hyperlink" Target="https://www3.epa.gov/ttn/chief/ap42/ch01/final/c01s04.pdf" TargetMode="External"/><Relationship Id="rId1" Type="http://schemas.openxmlformats.org/officeDocument/2006/relationships/hyperlink" Target="https://www.sdapcd.org/content/dam/sdapcd/documents/permits/emissions-calculation/incinerator-and-crematory/APCD-Crematory-Natural-Gas-Fired-Human-Remains-Controlled-Air.pdf" TargetMode="External"/><Relationship Id="rId6" Type="http://schemas.openxmlformats.org/officeDocument/2006/relationships/hyperlink" Target="https://www.sdapcd.org/content/dam/sdapcd/documents/permits/emissions-calculation/combustion--gas-fuels/APCD-Flare-Digester-Gas-Fired-Enclosed-F02-template-post-revision2.pdf" TargetMode="External"/><Relationship Id="rId5" Type="http://schemas.openxmlformats.org/officeDocument/2006/relationships/hyperlink" Target="https://www.ourair.org/wp-content/uploads/Landfill-Gas-Fired-Flare-Toxic-Emission-Factors.xls" TargetMode="External"/><Relationship Id="rId4" Type="http://schemas.openxmlformats.org/officeDocument/2006/relationships/hyperlink" Target="https://ww2.arb.ca.gov/california-air-toxics-emission-factor"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urair.org/wp-content/uploads/CARB-VOC-Species-Profiles.pdf" TargetMode="External"/><Relationship Id="rId2" Type="http://schemas.openxmlformats.org/officeDocument/2006/relationships/hyperlink" Target="https://www.ourair.org/wp-content/uploads/CARB-VOC-Species-Profiles.pdf" TargetMode="External"/><Relationship Id="rId1" Type="http://schemas.openxmlformats.org/officeDocument/2006/relationships/hyperlink" Target="https://www.ourair.org/wp-content/uploads/CARB-VOC-Species-Profiles.pdf" TargetMode="External"/><Relationship Id="rId5" Type="http://schemas.openxmlformats.org/officeDocument/2006/relationships/printerSettings" Target="../printerSettings/printerSettings4.bin"/><Relationship Id="rId4" Type="http://schemas.openxmlformats.org/officeDocument/2006/relationships/hyperlink" Target="https://www.ourair.org/wp-content/uploads/CARB-VOC-Species-Profiles.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3.arb.ca.gov/ei/speciate/speciate.htm" TargetMode="External"/><Relationship Id="rId7" Type="http://schemas.openxmlformats.org/officeDocument/2006/relationships/printerSettings" Target="../printerSettings/printerSettings5.bin"/><Relationship Id="rId2" Type="http://schemas.openxmlformats.org/officeDocument/2006/relationships/hyperlink" Target="https://ww3.arb.ca.gov/ei/speciate/speciate.htm" TargetMode="External"/><Relationship Id="rId1" Type="http://schemas.openxmlformats.org/officeDocument/2006/relationships/hyperlink" Target="https://ww3.arb.ca.gov/ei/speciate/speciate.htm" TargetMode="External"/><Relationship Id="rId6" Type="http://schemas.openxmlformats.org/officeDocument/2006/relationships/hyperlink" Target="https://www.sdapcd.org/content/dam/sdapcd/documents/permits/emissions-calculation/landfill/N02-A01-LANDFILL-GAS-DEFAULT-COMPOSITION-NO-CO-DISPOSAL.pdf" TargetMode="External"/><Relationship Id="rId5" Type="http://schemas.openxmlformats.org/officeDocument/2006/relationships/hyperlink" Target="https://www.sdapcd.org/content/dam/sdapcd/documents/permits/emissions-calculation/haul-road-emissions/R03-HAUL-ROADS-MINERAL-INDUSTRY-SITES.pdf" TargetMode="External"/><Relationship Id="rId4" Type="http://schemas.openxmlformats.org/officeDocument/2006/relationships/hyperlink" Target="https://gaftp.epa.gov/Air/aqmg/SCRAM/models/related/emshap/emshapv3ug.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sdapcd.org/content/dam/sdapcd/documents/permits/emissions-calculation/mineral-products-industry-cement-and-fly-ash-storage-silos/APCD-Fly-Ash-Storage-Silo-Pneumatic-Loading.pdf" TargetMode="External"/><Relationship Id="rId13" Type="http://schemas.openxmlformats.org/officeDocument/2006/relationships/hyperlink" Target="https://www.sdapcd.org/content/dam/sdapcd/documents/permits/emissions-calculation/haul-road-emissions/R03-HAUL-ROADS-MINERAL-INDUSTRY-SITES.pdf" TargetMode="External"/><Relationship Id="rId18" Type="http://schemas.openxmlformats.org/officeDocument/2006/relationships/printerSettings" Target="../printerSettings/printerSettings6.bin"/><Relationship Id="rId3" Type="http://schemas.openxmlformats.org/officeDocument/2006/relationships/hyperlink" Target="https://www3.epa.gov/ttn/chief/ap42/ch11/final/c11s01.pdf" TargetMode="External"/><Relationship Id="rId7" Type="http://schemas.openxmlformats.org/officeDocument/2006/relationships/hyperlink" Target="https://www3.epa.gov/ttn/chief/ap42/ch11/final/c11s01.pdf" TargetMode="External"/><Relationship Id="rId12" Type="http://schemas.openxmlformats.org/officeDocument/2006/relationships/hyperlink" Target="https://www.sdapcd.org/content/dam/sdapcd/documents/permits/emissions-calculation/mineral-products-industry-concrete-batch-plant/O05-C01-APCD-Concrete-Batch-Plant-Transit-Mix-Base-Operation.pdf" TargetMode="External"/><Relationship Id="rId17" Type="http://schemas.openxmlformats.org/officeDocument/2006/relationships/hyperlink" Target="https://www.sdapcd.org/content/dam/sdapcd/documents/permits/emissions-calculation/mineral-products-industry-aggregate-crusher/O11-C01-Primary-Crushing-Primary-Material-Uncontrolled.pdf" TargetMode="External"/><Relationship Id="rId2" Type="http://schemas.openxmlformats.org/officeDocument/2006/relationships/hyperlink" Target="https://www3.epa.gov/ttn/chief/ap42/ch11/final/c11s01.pdf" TargetMode="External"/><Relationship Id="rId16" Type="http://schemas.openxmlformats.org/officeDocument/2006/relationships/hyperlink" Target="https://www.sdapcd.org/content/dam/sdapcd/documents/permits/emissions-calculation/mineral-products-industry-aggregate-screening/O21-S01-Process-Dry-Uncontrolled.pdf" TargetMode="External"/><Relationship Id="rId1" Type="http://schemas.openxmlformats.org/officeDocument/2006/relationships/hyperlink" Target="https://www.tandfonline.com/doi/pdf/10.3155/1047-3289.59.11.1287" TargetMode="External"/><Relationship Id="rId6" Type="http://schemas.openxmlformats.org/officeDocument/2006/relationships/hyperlink" Target="https://www3.epa.gov/ttn/chief/ap42/ch11/final/c11s01.pdf" TargetMode="External"/><Relationship Id="rId11" Type="http://schemas.openxmlformats.org/officeDocument/2006/relationships/hyperlink" Target="https://www.arb.ca.gov/ei/speciate/profilereference/concretebatching_pm3431.pdf" TargetMode="External"/><Relationship Id="rId5" Type="http://schemas.openxmlformats.org/officeDocument/2006/relationships/hyperlink" Target="https://www3.epa.gov/ttn/chief/ap42/ch11/final/c11s01.pdf" TargetMode="External"/><Relationship Id="rId15" Type="http://schemas.openxmlformats.org/officeDocument/2006/relationships/hyperlink" Target="https://www.sdapcd.org/content/dam/sdapcd/documents/permits/emissions-calculation/mineral-products-industry-aggregate-transfer-point/O27-T01-Process-Dry-Uncontrolled.pdf" TargetMode="External"/><Relationship Id="rId10" Type="http://schemas.openxmlformats.org/officeDocument/2006/relationships/hyperlink" Target="https://gaftp.epa.gov/Air/aqmg/SCRAM/models/related/emshap/emshapv3ug.pdf" TargetMode="External"/><Relationship Id="rId4" Type="http://schemas.openxmlformats.org/officeDocument/2006/relationships/hyperlink" Target="https://www3.epa.gov/ttn/chief/ap42/ch11/final/c11s01.pdf" TargetMode="External"/><Relationship Id="rId9" Type="http://schemas.openxmlformats.org/officeDocument/2006/relationships/hyperlink" Target="https://www.sdapcd.org/content/dam/sdapcd/documents/permits/emissions-calculation/mineral-products-industry-cement-and-fly-ash-storage-silos/APCD-Cement-Storage-Silo-Pneumatic-Loading.pdf" TargetMode="External"/><Relationship Id="rId14" Type="http://schemas.openxmlformats.org/officeDocument/2006/relationships/hyperlink" Target="https://www.sdapcd.org/content/dam/sdapcd/documents/permits/emissions-calculation/mineral-products-industry-open-material-storage-piles/O01-OPEN-MATERIAL-AREAS-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85D54-24CE-4386-AD75-872146EC01FA}">
  <dimension ref="B1:FB106"/>
  <sheetViews>
    <sheetView showGridLines="0" zoomScaleNormal="100" workbookViewId="0">
      <pane xSplit="7" topLeftCell="H1" activePane="topRight" state="frozen"/>
      <selection pane="topRight" activeCell="B1" sqref="B1:G1"/>
    </sheetView>
  </sheetViews>
  <sheetFormatPr defaultRowHeight="14.5" x14ac:dyDescent="0.35"/>
  <cols>
    <col min="1" max="1" width="1.7265625" customWidth="1"/>
    <col min="2" max="2" width="3.7265625" customWidth="1"/>
    <col min="3" max="3" width="25.1796875" customWidth="1"/>
    <col min="4" max="4" width="46.26953125" customWidth="1"/>
    <col min="5" max="5" width="63.1796875" customWidth="1"/>
    <col min="6" max="6" width="21.26953125" style="32" customWidth="1"/>
    <col min="7" max="7" width="12.54296875" customWidth="1"/>
    <col min="8" max="8" width="23.7265625" bestFit="1" customWidth="1"/>
    <col min="9" max="10" width="11.1796875" hidden="1" customWidth="1"/>
    <col min="11" max="11" width="12" style="32" bestFit="1" customWidth="1"/>
    <col min="12" max="12" width="8.54296875" style="32" bestFit="1" customWidth="1"/>
    <col min="13" max="13" width="10.81640625" style="32" bestFit="1" customWidth="1"/>
    <col min="14" max="14" width="10.7265625" style="32" bestFit="1" customWidth="1"/>
    <col min="15" max="15" width="14.1796875" style="32" bestFit="1" customWidth="1"/>
    <col min="16" max="16" width="18.1796875" style="32" bestFit="1" customWidth="1"/>
    <col min="17" max="17" width="9" style="32" bestFit="1" customWidth="1"/>
    <col min="18" max="19" width="9.26953125" style="32" bestFit="1" customWidth="1"/>
    <col min="20" max="20" width="12.81640625" style="24" bestFit="1" customWidth="1"/>
    <col min="21" max="21" width="10" style="32" bestFit="1" customWidth="1"/>
    <col min="22" max="22" width="14.26953125" style="32" bestFit="1" customWidth="1"/>
    <col min="23" max="23" width="9.81640625" style="32" customWidth="1"/>
    <col min="24" max="24" width="12.54296875" style="32" hidden="1" customWidth="1"/>
    <col min="25" max="25" width="10" style="32" bestFit="1" customWidth="1"/>
    <col min="26" max="27" width="17.453125" style="32" hidden="1" customWidth="1"/>
    <col min="28" max="28" width="10.81640625" style="32" bestFit="1" customWidth="1"/>
    <col min="29" max="29" width="13.54296875" style="32" customWidth="1"/>
    <col min="30" max="30" width="15.453125" style="32" hidden="1" customWidth="1"/>
    <col min="31" max="31" width="17.26953125" style="32" hidden="1" customWidth="1"/>
    <col min="32" max="32" width="14.54296875" style="32" bestFit="1" customWidth="1"/>
    <col min="33" max="33" width="12.54296875" style="32" hidden="1" customWidth="1"/>
    <col min="34" max="34" width="9.1796875" style="32" bestFit="1" customWidth="1"/>
    <col min="35" max="35" width="13.26953125" style="32" hidden="1" customWidth="1"/>
    <col min="36" max="36" width="10.453125" style="32" bestFit="1" customWidth="1"/>
    <col min="37" max="37" width="12.453125" style="32" hidden="1" customWidth="1"/>
    <col min="38" max="38" width="19.54296875" style="32" hidden="1" customWidth="1"/>
    <col min="39" max="39" width="9.1796875" style="32" bestFit="1" customWidth="1"/>
    <col min="40" max="40" width="16.453125" style="32" hidden="1" customWidth="1"/>
    <col min="41" max="41" width="22.81640625" style="32" hidden="1" customWidth="1"/>
    <col min="42" max="42" width="16.453125" style="32" hidden="1" customWidth="1"/>
    <col min="43" max="43" width="21.453125" style="32" hidden="1" customWidth="1"/>
    <col min="44" max="44" width="22.7265625" style="32" hidden="1" customWidth="1"/>
    <col min="45" max="45" width="14.7265625" style="32" bestFit="1" customWidth="1"/>
    <col min="46" max="46" width="17.26953125" style="32" hidden="1" customWidth="1"/>
    <col min="47" max="47" width="22.1796875" style="32" hidden="1" customWidth="1"/>
    <col min="48" max="48" width="9.1796875" style="32" hidden="1" customWidth="1"/>
    <col min="49" max="49" width="15.7265625" style="32" bestFit="1" customWidth="1"/>
    <col min="50" max="50" width="12.1796875" style="32" hidden="1" customWidth="1"/>
    <col min="51" max="51" width="9.81640625" style="32" hidden="1" customWidth="1"/>
    <col min="52" max="52" width="8.81640625" style="32" hidden="1" customWidth="1"/>
    <col min="53" max="53" width="23.54296875" style="32" hidden="1" customWidth="1"/>
    <col min="54" max="54" width="20" style="32" hidden="1" customWidth="1"/>
    <col min="55" max="56" width="21.54296875" style="32" hidden="1" customWidth="1"/>
    <col min="57" max="57" width="21.54296875" style="24" hidden="1" customWidth="1"/>
    <col min="58" max="58" width="12.453125" style="24" hidden="1" customWidth="1"/>
    <col min="59" max="59" width="14.81640625" style="32" bestFit="1" customWidth="1"/>
    <col min="60" max="60" width="14.81640625" style="32" hidden="1" customWidth="1"/>
    <col min="61" max="62" width="20.7265625" style="32" hidden="1" customWidth="1"/>
    <col min="63" max="63" width="14.26953125" style="32" hidden="1" customWidth="1"/>
    <col min="64" max="64" width="9.54296875" style="32" hidden="1" customWidth="1"/>
    <col min="65" max="65" width="15.1796875" style="32" bestFit="1" customWidth="1"/>
    <col min="66" max="66" width="42.81640625" style="32" hidden="1" customWidth="1"/>
    <col min="67" max="68" width="39.26953125" style="32" hidden="1" customWidth="1"/>
    <col min="69" max="71" width="39.81640625" style="32" hidden="1" customWidth="1"/>
    <col min="72" max="75" width="36.26953125" style="32" hidden="1" customWidth="1"/>
    <col min="76" max="76" width="10.1796875" style="32" customWidth="1"/>
    <col min="77" max="77" width="18.7265625" style="32" bestFit="1" customWidth="1"/>
    <col min="78" max="79" width="19.1796875" style="32" hidden="1" customWidth="1"/>
    <col min="80" max="80" width="24.7265625" style="32" hidden="1" customWidth="1"/>
    <col min="81" max="81" width="10.54296875" style="32" hidden="1" customWidth="1"/>
    <col min="82" max="82" width="17" style="32" hidden="1" customWidth="1"/>
    <col min="83" max="83" width="16.81640625" style="32" hidden="1" customWidth="1"/>
    <col min="84" max="84" width="20" style="32" hidden="1" customWidth="1"/>
    <col min="85" max="85" width="21.54296875" style="32" hidden="1" customWidth="1"/>
    <col min="86" max="86" width="24.453125" style="32" hidden="1" customWidth="1"/>
    <col min="87" max="87" width="20.54296875" style="32" hidden="1" customWidth="1"/>
    <col min="88" max="88" width="22.7265625" style="32" hidden="1" customWidth="1"/>
    <col min="89" max="89" width="13.81640625" style="32" bestFit="1" customWidth="1"/>
    <col min="90" max="90" width="43.26953125" style="32" hidden="1" customWidth="1"/>
    <col min="91" max="91" width="39.7265625" style="32" hidden="1" customWidth="1"/>
    <col min="92" max="92" width="25.81640625" style="32" bestFit="1" customWidth="1"/>
    <col min="93" max="93" width="39.1796875" style="32" hidden="1" customWidth="1"/>
    <col min="94" max="95" width="35.54296875" style="32" hidden="1" customWidth="1"/>
    <col min="96" max="96" width="19.453125" style="32" hidden="1" customWidth="1"/>
    <col min="97" max="97" width="9.54296875" style="32" hidden="1" customWidth="1"/>
    <col min="98" max="98" width="15.1796875" style="32" hidden="1" customWidth="1"/>
    <col min="99" max="99" width="7.81640625" style="24" hidden="1" customWidth="1"/>
    <col min="100" max="100" width="18.1796875" style="32" hidden="1" customWidth="1"/>
    <col min="101" max="101" width="11" style="32" customWidth="1"/>
    <col min="102" max="102" width="17.453125" style="32" hidden="1" customWidth="1"/>
    <col min="103" max="103" width="7.81640625" style="32" hidden="1" customWidth="1"/>
    <col min="104" max="104" width="9.453125" style="32" hidden="1" customWidth="1"/>
    <col min="105" max="105" width="8.54296875" style="32" hidden="1" customWidth="1"/>
    <col min="106" max="106" width="36.7265625" style="32" hidden="1" customWidth="1"/>
    <col min="107" max="107" width="33.1796875" style="32" hidden="1" customWidth="1"/>
    <col min="108" max="108" width="26.81640625" style="32" hidden="1" customWidth="1"/>
    <col min="109" max="109" width="8.81640625" style="32" customWidth="1"/>
    <col min="110" max="110" width="18.7265625" style="32" hidden="1" customWidth="1"/>
    <col min="111" max="111" width="22.453125" style="32" hidden="1" customWidth="1"/>
    <col min="112" max="113" width="24.26953125" style="32" hidden="1" customWidth="1"/>
    <col min="114" max="114" width="46.7265625" style="24" hidden="1" customWidth="1"/>
    <col min="115" max="115" width="46" style="24" hidden="1" customWidth="1"/>
    <col min="116" max="116" width="14.7265625" style="32" hidden="1" customWidth="1"/>
    <col min="117" max="117" width="20.26953125" style="32" hidden="1" customWidth="1"/>
    <col min="118" max="118" width="8.453125" style="32" bestFit="1" customWidth="1"/>
    <col min="119" max="119" width="10.1796875" style="32" hidden="1" customWidth="1"/>
    <col min="120" max="120" width="9.54296875" style="32" hidden="1" customWidth="1"/>
  </cols>
  <sheetData>
    <row r="1" spans="2:158" ht="31" x14ac:dyDescent="0.7">
      <c r="B1" s="552" t="s">
        <v>446</v>
      </c>
      <c r="C1" s="552"/>
      <c r="D1" s="552"/>
      <c r="E1" s="552"/>
      <c r="F1" s="552"/>
      <c r="G1" s="552"/>
      <c r="H1" s="506"/>
      <c r="I1" s="506"/>
      <c r="J1" s="506"/>
      <c r="T1" s="32"/>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I1" s="25"/>
      <c r="CJ1" s="25"/>
      <c r="CK1" s="25"/>
      <c r="CL1" s="25"/>
      <c r="CM1" s="25"/>
      <c r="CN1" s="25"/>
      <c r="CO1" s="25"/>
      <c r="CP1" s="25"/>
      <c r="CQ1" s="25"/>
      <c r="CR1" s="25"/>
      <c r="CS1" s="25"/>
      <c r="CT1" s="25"/>
      <c r="CU1" s="25"/>
      <c r="CV1" s="25"/>
      <c r="CW1" s="25"/>
      <c r="CX1" s="25"/>
      <c r="DA1" s="25"/>
      <c r="DB1" s="25"/>
      <c r="DC1" s="25"/>
      <c r="DD1" s="25"/>
      <c r="DE1" s="25"/>
      <c r="DF1" s="25"/>
      <c r="DG1" s="25"/>
      <c r="DJ1" s="32"/>
      <c r="DK1" s="32"/>
      <c r="DL1" s="25"/>
      <c r="DM1" s="25"/>
      <c r="DN1" s="25"/>
      <c r="DO1" s="25"/>
      <c r="DP1" s="25"/>
      <c r="DQ1" s="25"/>
    </row>
    <row r="2" spans="2:158" ht="13.5" customHeight="1" thickBot="1" x14ac:dyDescent="0.7">
      <c r="L2" s="79"/>
      <c r="M2" s="79"/>
      <c r="N2" s="79"/>
      <c r="O2" s="79"/>
      <c r="P2" s="79"/>
      <c r="Q2" s="79"/>
      <c r="R2" s="79"/>
      <c r="S2" s="79"/>
      <c r="T2" s="197"/>
      <c r="U2" s="79"/>
      <c r="V2" s="79"/>
      <c r="W2" s="79"/>
      <c r="X2" s="79"/>
      <c r="Y2" s="79"/>
      <c r="Z2" s="79"/>
      <c r="AA2" s="79"/>
      <c r="AB2" s="79"/>
      <c r="AC2" s="79"/>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2"/>
      <c r="BF2" s="22"/>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I2" s="26"/>
      <c r="CJ2" s="26"/>
      <c r="CK2" s="26"/>
      <c r="CL2" s="26"/>
      <c r="CM2" s="26"/>
      <c r="CN2" s="26"/>
      <c r="CO2" s="26"/>
      <c r="CP2" s="26"/>
      <c r="CQ2" s="26"/>
      <c r="CR2" s="26"/>
      <c r="CS2" s="26"/>
      <c r="CT2" s="26"/>
      <c r="CU2" s="22"/>
      <c r="CV2" s="26"/>
      <c r="CW2" s="26"/>
      <c r="CX2" s="26"/>
      <c r="DA2" s="26"/>
      <c r="DB2" s="26"/>
      <c r="DC2" s="26"/>
      <c r="DD2" s="26"/>
      <c r="DE2" s="26"/>
      <c r="DF2" s="26"/>
      <c r="DG2" s="26"/>
      <c r="DL2" s="26"/>
      <c r="DM2" s="26"/>
      <c r="DN2" s="26"/>
      <c r="DO2" s="26"/>
      <c r="DP2" s="26"/>
      <c r="DQ2" s="26"/>
    </row>
    <row r="3" spans="2:158" ht="21.5" thickBot="1" x14ac:dyDescent="0.55000000000000004">
      <c r="B3" s="44"/>
      <c r="C3" s="44"/>
      <c r="G3" s="145"/>
      <c r="H3" s="524" t="s">
        <v>388</v>
      </c>
      <c r="I3" s="553" t="s">
        <v>88</v>
      </c>
      <c r="J3" s="554"/>
      <c r="K3" s="554"/>
      <c r="L3" s="554"/>
      <c r="M3" s="554"/>
      <c r="N3" s="554"/>
      <c r="O3" s="554"/>
      <c r="P3" s="554"/>
      <c r="Q3" s="554"/>
      <c r="R3" s="554"/>
      <c r="S3" s="554"/>
      <c r="T3" s="554"/>
      <c r="U3" s="554"/>
      <c r="V3" s="554"/>
      <c r="W3" s="554"/>
      <c r="X3" s="554"/>
      <c r="Y3" s="554"/>
      <c r="Z3" s="554"/>
      <c r="AA3" s="554"/>
      <c r="AB3" s="554"/>
      <c r="AC3" s="555"/>
      <c r="AD3" s="554" t="s">
        <v>195</v>
      </c>
      <c r="AE3" s="554"/>
      <c r="AF3" s="554"/>
      <c r="AG3" s="554"/>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554"/>
      <c r="BO3" s="554"/>
      <c r="BP3" s="554"/>
      <c r="BQ3" s="554"/>
      <c r="BR3" s="554"/>
      <c r="BS3" s="554"/>
      <c r="BT3" s="554"/>
      <c r="BU3" s="554"/>
      <c r="BV3" s="554"/>
      <c r="BW3" s="554"/>
      <c r="BX3" s="554"/>
      <c r="BY3" s="554"/>
      <c r="BZ3" s="554"/>
      <c r="CA3" s="554"/>
      <c r="CB3" s="554"/>
      <c r="CC3" s="554"/>
      <c r="CD3" s="554"/>
      <c r="CE3" s="554"/>
      <c r="CF3" s="554"/>
      <c r="CG3" s="554"/>
      <c r="CH3" s="554"/>
      <c r="CI3" s="554"/>
      <c r="CJ3" s="554"/>
      <c r="CK3" s="554"/>
      <c r="CL3" s="554"/>
      <c r="CM3" s="554"/>
      <c r="CN3" s="554"/>
      <c r="CO3" s="554"/>
      <c r="CP3" s="554"/>
      <c r="CQ3" s="554"/>
      <c r="CR3" s="554"/>
      <c r="CS3" s="554"/>
      <c r="CT3" s="554"/>
      <c r="CU3" s="554"/>
      <c r="CV3" s="554"/>
      <c r="CW3" s="554"/>
      <c r="CX3" s="554"/>
      <c r="CY3" s="554"/>
      <c r="CZ3" s="554"/>
      <c r="DA3" s="554"/>
      <c r="DB3" s="554"/>
      <c r="DC3" s="554"/>
      <c r="DD3" s="554"/>
      <c r="DE3" s="554"/>
      <c r="DF3" s="554"/>
      <c r="DG3" s="554"/>
      <c r="DH3" s="554"/>
      <c r="DI3" s="554"/>
      <c r="DJ3" s="554"/>
      <c r="DK3" s="554"/>
      <c r="DL3" s="554"/>
      <c r="DM3" s="554"/>
      <c r="DN3" s="554"/>
      <c r="DO3" s="554"/>
      <c r="DP3" s="554"/>
      <c r="DQ3" s="45"/>
    </row>
    <row r="4" spans="2:158" ht="15.75" customHeight="1" x14ac:dyDescent="0.35">
      <c r="B4" s="272"/>
      <c r="C4" s="556" t="s">
        <v>0</v>
      </c>
      <c r="D4" s="558" t="s">
        <v>326</v>
      </c>
      <c r="E4" s="560" t="s">
        <v>1</v>
      </c>
      <c r="F4" s="562" t="s">
        <v>2</v>
      </c>
      <c r="G4" s="564" t="s">
        <v>142</v>
      </c>
      <c r="H4" s="525" t="s">
        <v>389</v>
      </c>
      <c r="I4" s="187" t="s">
        <v>125</v>
      </c>
      <c r="J4" s="240" t="s">
        <v>254</v>
      </c>
      <c r="K4" s="1" t="s">
        <v>3</v>
      </c>
      <c r="L4" s="67" t="s">
        <v>4</v>
      </c>
      <c r="M4" s="1" t="s">
        <v>5</v>
      </c>
      <c r="N4" s="1" t="s">
        <v>6</v>
      </c>
      <c r="O4" s="1" t="s">
        <v>150</v>
      </c>
      <c r="P4" s="67" t="s">
        <v>151</v>
      </c>
      <c r="Q4" s="322" t="s">
        <v>7</v>
      </c>
      <c r="R4" s="1" t="s">
        <v>8</v>
      </c>
      <c r="S4" s="1" t="s">
        <v>9</v>
      </c>
      <c r="T4" s="1" t="s">
        <v>10</v>
      </c>
      <c r="U4" s="1" t="s">
        <v>11</v>
      </c>
      <c r="V4" s="67" t="s">
        <v>12</v>
      </c>
      <c r="W4" s="1" t="s">
        <v>13</v>
      </c>
      <c r="X4" s="67" t="s">
        <v>127</v>
      </c>
      <c r="Y4" s="1" t="s">
        <v>14</v>
      </c>
      <c r="Z4" s="1" t="s">
        <v>126</v>
      </c>
      <c r="AA4" s="1" t="s">
        <v>348</v>
      </c>
      <c r="AB4" s="1" t="s">
        <v>15</v>
      </c>
      <c r="AC4" s="72" t="s">
        <v>16</v>
      </c>
      <c r="AD4" s="67" t="s">
        <v>17</v>
      </c>
      <c r="AE4" s="67" t="s">
        <v>18</v>
      </c>
      <c r="AF4" s="1" t="s">
        <v>19</v>
      </c>
      <c r="AG4" s="67" t="s">
        <v>120</v>
      </c>
      <c r="AH4" s="1" t="s">
        <v>20</v>
      </c>
      <c r="AI4" s="1" t="s">
        <v>121</v>
      </c>
      <c r="AJ4" s="1" t="s">
        <v>21</v>
      </c>
      <c r="AK4" s="67" t="s">
        <v>22</v>
      </c>
      <c r="AL4" s="1" t="s">
        <v>23</v>
      </c>
      <c r="AM4" s="1" t="s">
        <v>24</v>
      </c>
      <c r="AN4" s="1" t="s">
        <v>25</v>
      </c>
      <c r="AO4" s="1" t="s">
        <v>26</v>
      </c>
      <c r="AP4" s="67" t="s">
        <v>27</v>
      </c>
      <c r="AQ4" s="67" t="s">
        <v>199</v>
      </c>
      <c r="AR4" s="1" t="s">
        <v>28</v>
      </c>
      <c r="AS4" s="1" t="s">
        <v>152</v>
      </c>
      <c r="AT4" s="1" t="s">
        <v>314</v>
      </c>
      <c r="AU4" s="1" t="s">
        <v>29</v>
      </c>
      <c r="AV4" s="1" t="s">
        <v>109</v>
      </c>
      <c r="AW4" s="1" t="s">
        <v>94</v>
      </c>
      <c r="AX4" s="1" t="s">
        <v>30</v>
      </c>
      <c r="AY4" s="1" t="s">
        <v>31</v>
      </c>
      <c r="AZ4" s="67" t="s">
        <v>318</v>
      </c>
      <c r="BA4" s="1" t="s">
        <v>93</v>
      </c>
      <c r="BB4" s="1" t="s">
        <v>178</v>
      </c>
      <c r="BC4" s="67" t="s">
        <v>153</v>
      </c>
      <c r="BD4" s="67" t="s">
        <v>154</v>
      </c>
      <c r="BE4" s="1" t="s">
        <v>220</v>
      </c>
      <c r="BF4" s="1" t="s">
        <v>179</v>
      </c>
      <c r="BG4" s="1" t="s">
        <v>155</v>
      </c>
      <c r="BH4" s="1" t="s">
        <v>316</v>
      </c>
      <c r="BI4" s="1" t="s">
        <v>32</v>
      </c>
      <c r="BJ4" s="1" t="s">
        <v>222</v>
      </c>
      <c r="BK4" s="67" t="s">
        <v>33</v>
      </c>
      <c r="BL4" s="67" t="s">
        <v>34</v>
      </c>
      <c r="BM4" s="1" t="s">
        <v>35</v>
      </c>
      <c r="BN4" s="1" t="s">
        <v>241</v>
      </c>
      <c r="BO4" s="1" t="s">
        <v>243</v>
      </c>
      <c r="BP4" s="1" t="s">
        <v>244</v>
      </c>
      <c r="BQ4" s="1" t="s">
        <v>238</v>
      </c>
      <c r="BR4" s="1" t="s">
        <v>239</v>
      </c>
      <c r="BS4" s="1" t="s">
        <v>240</v>
      </c>
      <c r="BT4" s="1" t="s">
        <v>245</v>
      </c>
      <c r="BU4" s="1" t="s">
        <v>246</v>
      </c>
      <c r="BV4" s="1" t="s">
        <v>247</v>
      </c>
      <c r="BW4" s="1" t="s">
        <v>248</v>
      </c>
      <c r="BX4" s="1" t="s">
        <v>40</v>
      </c>
      <c r="BY4" s="1" t="s">
        <v>90</v>
      </c>
      <c r="BZ4" s="1" t="s">
        <v>224</v>
      </c>
      <c r="CA4" s="322" t="s">
        <v>376</v>
      </c>
      <c r="CB4" s="1" t="s">
        <v>36</v>
      </c>
      <c r="CC4" s="1" t="s">
        <v>37</v>
      </c>
      <c r="CD4" s="1" t="s">
        <v>315</v>
      </c>
      <c r="CE4" s="67" t="s">
        <v>317</v>
      </c>
      <c r="CF4" s="1" t="s">
        <v>92</v>
      </c>
      <c r="CG4" s="1" t="s">
        <v>156</v>
      </c>
      <c r="CH4" s="1" t="s">
        <v>157</v>
      </c>
      <c r="CI4" s="1" t="s">
        <v>38</v>
      </c>
      <c r="CJ4" s="67" t="s">
        <v>158</v>
      </c>
      <c r="CK4" s="1" t="s">
        <v>39</v>
      </c>
      <c r="CL4" s="1" t="s">
        <v>242</v>
      </c>
      <c r="CM4" s="1" t="s">
        <v>249</v>
      </c>
      <c r="CN4" s="1" t="s">
        <v>198</v>
      </c>
      <c r="CO4" s="1" t="s">
        <v>237</v>
      </c>
      <c r="CP4" s="1" t="s">
        <v>250</v>
      </c>
      <c r="CQ4" s="1" t="s">
        <v>251</v>
      </c>
      <c r="CR4" s="1" t="s">
        <v>91</v>
      </c>
      <c r="CS4" s="67" t="s">
        <v>41</v>
      </c>
      <c r="CT4" s="67" t="s">
        <v>42</v>
      </c>
      <c r="CU4" s="1" t="s">
        <v>329</v>
      </c>
      <c r="CV4" s="67" t="s">
        <v>253</v>
      </c>
      <c r="CW4" s="1" t="s">
        <v>82</v>
      </c>
      <c r="CX4" s="1" t="s">
        <v>83</v>
      </c>
      <c r="CY4" s="67" t="s">
        <v>43</v>
      </c>
      <c r="CZ4" s="67" t="s">
        <v>235</v>
      </c>
      <c r="DA4" s="1" t="s">
        <v>44</v>
      </c>
      <c r="DB4" s="1" t="s">
        <v>236</v>
      </c>
      <c r="DC4" s="1" t="s">
        <v>252</v>
      </c>
      <c r="DD4" s="1" t="s">
        <v>160</v>
      </c>
      <c r="DE4" s="1" t="s">
        <v>45</v>
      </c>
      <c r="DF4" s="1" t="s">
        <v>122</v>
      </c>
      <c r="DG4" s="1" t="s">
        <v>161</v>
      </c>
      <c r="DH4" s="67" t="s">
        <v>162</v>
      </c>
      <c r="DI4" s="67" t="s">
        <v>223</v>
      </c>
      <c r="DJ4" s="1" t="s">
        <v>303</v>
      </c>
      <c r="DK4" s="1" t="s">
        <v>304</v>
      </c>
      <c r="DL4" s="1" t="s">
        <v>46</v>
      </c>
      <c r="DM4" s="1" t="s">
        <v>211</v>
      </c>
      <c r="DN4" s="1" t="s">
        <v>163</v>
      </c>
      <c r="DO4" s="1" t="s">
        <v>164</v>
      </c>
      <c r="DP4" s="1" t="s">
        <v>165</v>
      </c>
      <c r="DQ4" s="14"/>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row>
    <row r="5" spans="2:158" ht="15.75" customHeight="1" thickBot="1" x14ac:dyDescent="0.4">
      <c r="B5" s="273"/>
      <c r="C5" s="557"/>
      <c r="D5" s="559"/>
      <c r="E5" s="561"/>
      <c r="F5" s="563"/>
      <c r="G5" s="565"/>
      <c r="H5" s="526">
        <v>7446095</v>
      </c>
      <c r="I5" s="143">
        <v>7429905</v>
      </c>
      <c r="J5" s="78">
        <v>7440360</v>
      </c>
      <c r="K5" s="5">
        <v>7440382</v>
      </c>
      <c r="L5" s="78">
        <v>7440393</v>
      </c>
      <c r="M5" s="5">
        <v>7440417</v>
      </c>
      <c r="N5" s="5">
        <v>7440439</v>
      </c>
      <c r="O5" s="5">
        <v>18540299</v>
      </c>
      <c r="P5" s="78">
        <v>7440473</v>
      </c>
      <c r="Q5" s="323">
        <v>7440484</v>
      </c>
      <c r="R5" s="5">
        <v>7440508</v>
      </c>
      <c r="S5" s="5">
        <v>7439921</v>
      </c>
      <c r="T5" s="5">
        <v>7439965</v>
      </c>
      <c r="U5" s="5">
        <v>7439976</v>
      </c>
      <c r="V5" s="78">
        <v>7439987</v>
      </c>
      <c r="W5" s="5">
        <v>7440020</v>
      </c>
      <c r="X5" s="78">
        <v>7723140</v>
      </c>
      <c r="Y5" s="5">
        <v>7782492</v>
      </c>
      <c r="Z5" s="5">
        <v>1175</v>
      </c>
      <c r="AA5" s="5">
        <v>9960</v>
      </c>
      <c r="AB5" s="5">
        <v>7440622</v>
      </c>
      <c r="AC5" s="91">
        <v>7440666</v>
      </c>
      <c r="AD5" s="78">
        <v>83329</v>
      </c>
      <c r="AE5" s="78">
        <v>208968</v>
      </c>
      <c r="AF5" s="5">
        <v>75070</v>
      </c>
      <c r="AG5" s="78">
        <v>75058</v>
      </c>
      <c r="AH5" s="5">
        <v>107028</v>
      </c>
      <c r="AI5" s="5">
        <v>107131</v>
      </c>
      <c r="AJ5" s="5">
        <v>7664417</v>
      </c>
      <c r="AK5" s="78">
        <v>120127</v>
      </c>
      <c r="AL5" s="5">
        <v>56553</v>
      </c>
      <c r="AM5" s="5">
        <v>71432</v>
      </c>
      <c r="AN5" s="5">
        <v>50328</v>
      </c>
      <c r="AO5" s="5">
        <v>205992</v>
      </c>
      <c r="AP5" s="78">
        <v>192972</v>
      </c>
      <c r="AQ5" s="78">
        <v>191242</v>
      </c>
      <c r="AR5" s="5">
        <v>207089</v>
      </c>
      <c r="AS5" s="5">
        <v>106990</v>
      </c>
      <c r="AT5" s="5">
        <v>75150</v>
      </c>
      <c r="AU5" s="5">
        <v>56235</v>
      </c>
      <c r="AV5" s="5">
        <v>7782505</v>
      </c>
      <c r="AW5" s="5">
        <v>108907</v>
      </c>
      <c r="AX5" s="5">
        <v>67663</v>
      </c>
      <c r="AY5" s="5">
        <v>218019</v>
      </c>
      <c r="AZ5" s="78">
        <v>98828</v>
      </c>
      <c r="BA5" s="5">
        <v>53703</v>
      </c>
      <c r="BB5" s="5">
        <v>75343</v>
      </c>
      <c r="BC5" s="78">
        <v>78875</v>
      </c>
      <c r="BD5" s="78">
        <v>542756</v>
      </c>
      <c r="BE5" s="5">
        <v>106467</v>
      </c>
      <c r="BF5" s="5">
        <v>123911</v>
      </c>
      <c r="BG5" s="5">
        <v>100414</v>
      </c>
      <c r="BH5" s="5">
        <v>75003</v>
      </c>
      <c r="BI5" s="5">
        <v>106934</v>
      </c>
      <c r="BJ5" s="5">
        <v>107062</v>
      </c>
      <c r="BK5" s="78">
        <v>206440</v>
      </c>
      <c r="BL5" s="78">
        <v>86737</v>
      </c>
      <c r="BM5" s="5">
        <v>50000</v>
      </c>
      <c r="BN5" s="5">
        <v>35822469</v>
      </c>
      <c r="BO5" s="5">
        <v>67562394</v>
      </c>
      <c r="BP5" s="5">
        <v>55673897</v>
      </c>
      <c r="BQ5" s="5">
        <v>39227286</v>
      </c>
      <c r="BR5" s="5">
        <v>57653857</v>
      </c>
      <c r="BS5" s="5">
        <v>19408743</v>
      </c>
      <c r="BT5" s="5">
        <v>70648269</v>
      </c>
      <c r="BU5" s="5">
        <v>57117449</v>
      </c>
      <c r="BV5" s="5">
        <v>72918219</v>
      </c>
      <c r="BW5" s="5">
        <v>60851345</v>
      </c>
      <c r="BX5" s="5">
        <v>110543</v>
      </c>
      <c r="BY5" s="5">
        <v>7647010</v>
      </c>
      <c r="BZ5" s="5">
        <v>7664393</v>
      </c>
      <c r="CA5" s="323">
        <v>7783064</v>
      </c>
      <c r="CB5" s="5">
        <v>193395</v>
      </c>
      <c r="CC5" s="5">
        <v>67561</v>
      </c>
      <c r="CD5" s="5">
        <v>74839</v>
      </c>
      <c r="CE5" s="78">
        <v>74873</v>
      </c>
      <c r="CF5" s="5">
        <v>71556</v>
      </c>
      <c r="CG5" s="5">
        <v>78933</v>
      </c>
      <c r="CH5" s="5">
        <v>1634044</v>
      </c>
      <c r="CI5" s="5">
        <v>75092</v>
      </c>
      <c r="CJ5" s="78">
        <v>91576</v>
      </c>
      <c r="CK5" s="5">
        <v>91203</v>
      </c>
      <c r="CL5" s="5">
        <v>3268879</v>
      </c>
      <c r="CM5" s="5">
        <v>39001020</v>
      </c>
      <c r="CN5" s="5" t="s">
        <v>159</v>
      </c>
      <c r="CO5" s="5">
        <v>40321764</v>
      </c>
      <c r="CP5" s="5">
        <v>57117416</v>
      </c>
      <c r="CQ5" s="5">
        <v>57117314</v>
      </c>
      <c r="CR5" s="5">
        <v>127184</v>
      </c>
      <c r="CS5" s="78">
        <v>198550</v>
      </c>
      <c r="CT5" s="78">
        <v>85018</v>
      </c>
      <c r="CU5" s="5">
        <v>108952</v>
      </c>
      <c r="CV5" s="78">
        <v>123386</v>
      </c>
      <c r="CW5" s="5">
        <v>115071</v>
      </c>
      <c r="CX5" s="5">
        <v>75569</v>
      </c>
      <c r="CY5" s="78">
        <v>129000</v>
      </c>
      <c r="CZ5" s="78">
        <v>106514</v>
      </c>
      <c r="DA5" s="5">
        <v>100425</v>
      </c>
      <c r="DB5" s="5">
        <v>1746016</v>
      </c>
      <c r="DC5" s="5">
        <v>51207319</v>
      </c>
      <c r="DD5" s="5">
        <v>79345</v>
      </c>
      <c r="DE5" s="5">
        <v>108883</v>
      </c>
      <c r="DF5" s="5">
        <v>79016</v>
      </c>
      <c r="DG5" s="5">
        <v>79005</v>
      </c>
      <c r="DH5" s="78">
        <v>95636</v>
      </c>
      <c r="DI5" s="78">
        <v>540841</v>
      </c>
      <c r="DJ5" s="5">
        <v>1085</v>
      </c>
      <c r="DK5" s="5">
        <v>1080</v>
      </c>
      <c r="DL5" s="5">
        <v>75014</v>
      </c>
      <c r="DM5" s="5">
        <v>75354</v>
      </c>
      <c r="DN5" s="5">
        <v>1330207</v>
      </c>
      <c r="DO5" s="5">
        <v>108383</v>
      </c>
      <c r="DP5" s="5">
        <v>95476</v>
      </c>
      <c r="DQ5" s="14"/>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row>
    <row r="6" spans="2:158" x14ac:dyDescent="0.35">
      <c r="B6" s="123"/>
      <c r="C6" s="353" t="s">
        <v>167</v>
      </c>
      <c r="D6" s="147"/>
      <c r="E6" s="148"/>
      <c r="F6" s="54"/>
      <c r="G6" s="21"/>
      <c r="H6" s="527"/>
      <c r="I6" s="150"/>
      <c r="J6" s="71"/>
      <c r="K6" s="51"/>
      <c r="L6" s="68"/>
      <c r="M6" s="51"/>
      <c r="N6" s="51"/>
      <c r="O6" s="51"/>
      <c r="P6" s="68"/>
      <c r="Q6" s="438"/>
      <c r="R6" s="51"/>
      <c r="S6" s="51"/>
      <c r="T6" s="51"/>
      <c r="U6" s="51"/>
      <c r="V6" s="68"/>
      <c r="W6" s="51"/>
      <c r="X6" s="68"/>
      <c r="Y6" s="51"/>
      <c r="Z6" s="51"/>
      <c r="AA6" s="51"/>
      <c r="AB6" s="51"/>
      <c r="AC6" s="73"/>
      <c r="AD6" s="335"/>
      <c r="AE6" s="335"/>
      <c r="AF6" s="22"/>
      <c r="AG6" s="335"/>
      <c r="AH6" s="22"/>
      <c r="AI6" s="22"/>
      <c r="AJ6" s="22"/>
      <c r="AK6" s="335"/>
      <c r="AL6" s="22"/>
      <c r="AM6" s="22"/>
      <c r="AN6" s="22"/>
      <c r="AO6" s="22"/>
      <c r="AP6" s="335"/>
      <c r="AQ6" s="335"/>
      <c r="AR6" s="22"/>
      <c r="AS6" s="22"/>
      <c r="AT6" s="22"/>
      <c r="AU6" s="22"/>
      <c r="AV6" s="22"/>
      <c r="AW6" s="22"/>
      <c r="AX6" s="22"/>
      <c r="AY6" s="22"/>
      <c r="AZ6" s="335"/>
      <c r="BA6" s="22"/>
      <c r="BB6" s="22"/>
      <c r="BC6" s="335"/>
      <c r="BD6" s="335"/>
      <c r="BE6" s="22"/>
      <c r="BF6" s="22"/>
      <c r="BG6" s="22"/>
      <c r="BH6" s="22"/>
      <c r="BI6" s="22"/>
      <c r="BJ6" s="22"/>
      <c r="BK6" s="335"/>
      <c r="BL6" s="335"/>
      <c r="BM6" s="22"/>
      <c r="BN6" s="22"/>
      <c r="BO6" s="22"/>
      <c r="BP6" s="22"/>
      <c r="BQ6" s="22"/>
      <c r="BR6" s="22"/>
      <c r="BS6" s="22"/>
      <c r="BT6" s="22"/>
      <c r="BU6" s="22"/>
      <c r="BV6" s="22"/>
      <c r="BW6" s="22"/>
      <c r="BX6" s="22"/>
      <c r="BY6" s="22"/>
      <c r="BZ6" s="22"/>
      <c r="CA6" s="22"/>
      <c r="CB6" s="22"/>
      <c r="CC6" s="22"/>
      <c r="CD6" s="22"/>
      <c r="CE6" s="335"/>
      <c r="CF6" s="22"/>
      <c r="CG6" s="22"/>
      <c r="CH6" s="22"/>
      <c r="CI6" s="22"/>
      <c r="CJ6" s="335"/>
      <c r="CK6" s="22"/>
      <c r="CL6" s="22"/>
      <c r="CM6" s="22"/>
      <c r="CN6" s="22"/>
      <c r="CO6" s="22"/>
      <c r="CP6" s="22"/>
      <c r="CQ6" s="22"/>
      <c r="CR6" s="22"/>
      <c r="CS6" s="335"/>
      <c r="CT6" s="335"/>
      <c r="CU6" s="22"/>
      <c r="CV6" s="335"/>
      <c r="CW6" s="22"/>
      <c r="CX6" s="22"/>
      <c r="CY6" s="335"/>
      <c r="CZ6" s="335"/>
      <c r="DA6" s="22"/>
      <c r="DB6" s="22"/>
      <c r="DC6" s="22"/>
      <c r="DD6" s="22"/>
      <c r="DE6" s="22"/>
      <c r="DF6" s="22"/>
      <c r="DG6" s="22"/>
      <c r="DH6" s="335"/>
      <c r="DI6" s="335"/>
      <c r="DJ6" s="22"/>
      <c r="DK6" s="22"/>
      <c r="DL6" s="22"/>
      <c r="DM6" s="22"/>
      <c r="DN6" s="22"/>
      <c r="DO6" s="24"/>
      <c r="DP6" s="24"/>
      <c r="DQ6" s="14"/>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row>
    <row r="7" spans="2:158" x14ac:dyDescent="0.35">
      <c r="B7" s="61"/>
      <c r="C7" s="34"/>
      <c r="D7" s="41"/>
      <c r="E7" s="141" t="s">
        <v>85</v>
      </c>
      <c r="F7" s="354"/>
      <c r="G7" s="314"/>
      <c r="H7" s="528"/>
      <c r="I7" s="193"/>
      <c r="J7" s="97"/>
      <c r="K7" s="336"/>
      <c r="L7" s="337"/>
      <c r="M7" s="336"/>
      <c r="N7" s="336"/>
      <c r="O7" s="336"/>
      <c r="P7" s="337"/>
      <c r="Q7" s="440"/>
      <c r="R7" s="336"/>
      <c r="S7" s="336"/>
      <c r="T7" s="336"/>
      <c r="U7" s="336"/>
      <c r="V7" s="337"/>
      <c r="W7" s="336"/>
      <c r="X7" s="337"/>
      <c r="Y7" s="336"/>
      <c r="Z7" s="336"/>
      <c r="AA7" s="336"/>
      <c r="AB7" s="336"/>
      <c r="AC7" s="74"/>
      <c r="AD7" s="337"/>
      <c r="AE7" s="337"/>
      <c r="AF7" s="336"/>
      <c r="AG7" s="337"/>
      <c r="AH7" s="336"/>
      <c r="AI7" s="336"/>
      <c r="AJ7" s="336"/>
      <c r="AK7" s="337"/>
      <c r="AL7" s="336"/>
      <c r="AM7" s="336"/>
      <c r="AN7" s="336"/>
      <c r="AO7" s="336"/>
      <c r="AP7" s="337"/>
      <c r="AQ7" s="337"/>
      <c r="AR7" s="336"/>
      <c r="AS7" s="336"/>
      <c r="AT7" s="336"/>
      <c r="AU7" s="336"/>
      <c r="AV7" s="336"/>
      <c r="AW7" s="336"/>
      <c r="AX7" s="336"/>
      <c r="AY7" s="336"/>
      <c r="AZ7" s="337"/>
      <c r="BA7" s="336"/>
      <c r="BB7" s="336"/>
      <c r="BC7" s="337"/>
      <c r="BD7" s="337"/>
      <c r="BE7" s="336"/>
      <c r="BF7" s="336"/>
      <c r="BG7" s="336"/>
      <c r="BH7" s="336"/>
      <c r="BI7" s="336"/>
      <c r="BJ7" s="336"/>
      <c r="BK7" s="337"/>
      <c r="BL7" s="337"/>
      <c r="BM7" s="336"/>
      <c r="BN7" s="336"/>
      <c r="BO7" s="336"/>
      <c r="BP7" s="336"/>
      <c r="BQ7" s="336"/>
      <c r="BR7" s="336"/>
      <c r="BS7" s="336"/>
      <c r="BT7" s="336"/>
      <c r="BU7" s="336"/>
      <c r="BV7" s="336"/>
      <c r="BW7" s="336"/>
      <c r="BX7" s="336"/>
      <c r="BY7" s="336"/>
      <c r="BZ7" s="336"/>
      <c r="CA7" s="336"/>
      <c r="CB7" s="336"/>
      <c r="CC7" s="336"/>
      <c r="CD7" s="336"/>
      <c r="CE7" s="337"/>
      <c r="CF7" s="336"/>
      <c r="CG7" s="17"/>
      <c r="CH7" s="17"/>
      <c r="CI7" s="336"/>
      <c r="CJ7" s="337"/>
      <c r="CK7" s="336"/>
      <c r="CL7" s="336"/>
      <c r="CM7" s="336"/>
      <c r="CN7" s="336"/>
      <c r="CO7" s="336"/>
      <c r="CP7" s="336"/>
      <c r="CQ7" s="336"/>
      <c r="CR7" s="336"/>
      <c r="CS7" s="337"/>
      <c r="CT7" s="337"/>
      <c r="CU7" s="336"/>
      <c r="CV7" s="337"/>
      <c r="CW7" s="336"/>
      <c r="CX7" s="336"/>
      <c r="CY7" s="337"/>
      <c r="CZ7" s="337"/>
      <c r="DA7" s="336"/>
      <c r="DB7" s="336"/>
      <c r="DC7" s="336"/>
      <c r="DD7" s="336"/>
      <c r="DE7" s="336"/>
      <c r="DF7" s="336"/>
      <c r="DG7" s="336"/>
      <c r="DH7" s="337"/>
      <c r="DI7" s="337"/>
      <c r="DJ7" s="336"/>
      <c r="DK7" s="336"/>
      <c r="DL7" s="336"/>
      <c r="DM7" s="336"/>
      <c r="DN7" s="336"/>
      <c r="DO7" s="24"/>
      <c r="DP7" s="24"/>
      <c r="DQ7" s="14"/>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row>
    <row r="8" spans="2:158" ht="16.5" x14ac:dyDescent="0.35">
      <c r="B8" s="61"/>
      <c r="C8" s="34"/>
      <c r="D8" s="41" t="s">
        <v>334</v>
      </c>
      <c r="E8" s="355" t="s">
        <v>99</v>
      </c>
      <c r="F8" s="54" t="s">
        <v>384</v>
      </c>
      <c r="G8" s="314" t="s">
        <v>145</v>
      </c>
      <c r="H8" s="548" t="s">
        <v>455</v>
      </c>
      <c r="I8" s="151" t="s">
        <v>78</v>
      </c>
      <c r="J8" s="69" t="s">
        <v>78</v>
      </c>
      <c r="K8" s="95">
        <f>K18*(1/1020)*(1/10^6)*(91500)*1000</f>
        <v>1.7941176470588237E-5</v>
      </c>
      <c r="L8" s="115">
        <f t="shared" ref="L8:AC10" si="0">L18*(1/1020)*(1/10^6)*(91500)*1000</f>
        <v>3.9470588235294122E-4</v>
      </c>
      <c r="M8" s="95">
        <f t="shared" si="0"/>
        <v>1.0764705882352939E-6</v>
      </c>
      <c r="N8" s="95">
        <f t="shared" si="0"/>
        <v>9.8676470588235306E-5</v>
      </c>
      <c r="O8" s="138" t="s">
        <v>78</v>
      </c>
      <c r="P8" s="115">
        <f t="shared" si="0"/>
        <v>1.2558823529411765E-4</v>
      </c>
      <c r="Q8" s="380">
        <f t="shared" si="0"/>
        <v>7.535294117647058E-6</v>
      </c>
      <c r="R8" s="95">
        <f t="shared" si="0"/>
        <v>7.6249999999999983E-5</v>
      </c>
      <c r="S8" s="95">
        <f t="shared" si="0"/>
        <v>4.4852941176470584E-5</v>
      </c>
      <c r="T8" s="95">
        <f t="shared" si="0"/>
        <v>3.4088235294117648E-5</v>
      </c>
      <c r="U8" s="95">
        <f t="shared" si="0"/>
        <v>2.3323529411764702E-5</v>
      </c>
      <c r="V8" s="135">
        <f t="shared" si="0"/>
        <v>9.8676470588235306E-5</v>
      </c>
      <c r="W8" s="183">
        <f t="shared" si="0"/>
        <v>1.8838235294117646E-4</v>
      </c>
      <c r="X8" s="69" t="s">
        <v>78</v>
      </c>
      <c r="Y8" s="95">
        <f t="shared" si="0"/>
        <v>2.1529411764705878E-6</v>
      </c>
      <c r="Z8" s="17" t="s">
        <v>78</v>
      </c>
      <c r="AA8" s="17" t="s">
        <v>78</v>
      </c>
      <c r="AB8" s="183">
        <f t="shared" si="0"/>
        <v>2.0632352941176468E-4</v>
      </c>
      <c r="AC8" s="242">
        <f t="shared" si="0"/>
        <v>2.6014705882352941E-3</v>
      </c>
      <c r="AD8" s="69" t="s">
        <v>78</v>
      </c>
      <c r="AE8" s="69" t="s">
        <v>78</v>
      </c>
      <c r="AF8" s="338">
        <v>8.0000000000000007E-5</v>
      </c>
      <c r="AG8" s="339" t="s">
        <v>78</v>
      </c>
      <c r="AH8" s="338">
        <v>6.9999999999999994E-5</v>
      </c>
      <c r="AI8" s="338" t="s">
        <v>78</v>
      </c>
      <c r="AJ8" s="340">
        <v>0.3</v>
      </c>
      <c r="AK8" s="339" t="s">
        <v>78</v>
      </c>
      <c r="AL8" s="338" t="s">
        <v>78</v>
      </c>
      <c r="AM8" s="338">
        <v>1.4999999999999999E-4</v>
      </c>
      <c r="AN8" s="338" t="s">
        <v>78</v>
      </c>
      <c r="AO8" s="338" t="s">
        <v>78</v>
      </c>
      <c r="AP8" s="339" t="s">
        <v>78</v>
      </c>
      <c r="AQ8" s="339" t="s">
        <v>78</v>
      </c>
      <c r="AR8" s="338" t="s">
        <v>78</v>
      </c>
      <c r="AS8" s="338" t="s">
        <v>78</v>
      </c>
      <c r="AT8" s="338" t="s">
        <v>78</v>
      </c>
      <c r="AU8" s="338" t="s">
        <v>78</v>
      </c>
      <c r="AV8" s="338" t="s">
        <v>78</v>
      </c>
      <c r="AW8" s="338" t="s">
        <v>78</v>
      </c>
      <c r="AX8" s="338" t="s">
        <v>78</v>
      </c>
      <c r="AY8" s="338" t="s">
        <v>78</v>
      </c>
      <c r="AZ8" s="339" t="s">
        <v>78</v>
      </c>
      <c r="BA8" s="338" t="s">
        <v>78</v>
      </c>
      <c r="BB8" s="338" t="s">
        <v>78</v>
      </c>
      <c r="BC8" s="339" t="s">
        <v>78</v>
      </c>
      <c r="BD8" s="339" t="s">
        <v>78</v>
      </c>
      <c r="BE8" s="338" t="s">
        <v>78</v>
      </c>
      <c r="BF8" s="338" t="s">
        <v>78</v>
      </c>
      <c r="BG8" s="338">
        <v>1.8000000000000001E-4</v>
      </c>
      <c r="BH8" s="338" t="s">
        <v>78</v>
      </c>
      <c r="BI8" s="338" t="s">
        <v>78</v>
      </c>
      <c r="BJ8" s="338" t="s">
        <v>78</v>
      </c>
      <c r="BK8" s="339" t="s">
        <v>78</v>
      </c>
      <c r="BL8" s="339" t="s">
        <v>78</v>
      </c>
      <c r="BM8" s="338">
        <v>3.2000000000000003E-4</v>
      </c>
      <c r="BN8" s="338" t="s">
        <v>78</v>
      </c>
      <c r="BO8" s="338" t="s">
        <v>78</v>
      </c>
      <c r="BP8" s="338" t="s">
        <v>78</v>
      </c>
      <c r="BQ8" s="338" t="s">
        <v>78</v>
      </c>
      <c r="BR8" s="338" t="s">
        <v>78</v>
      </c>
      <c r="BS8" s="338" t="s">
        <v>78</v>
      </c>
      <c r="BT8" s="338" t="s">
        <v>78</v>
      </c>
      <c r="BU8" s="338" t="s">
        <v>78</v>
      </c>
      <c r="BV8" s="338" t="s">
        <v>78</v>
      </c>
      <c r="BW8" s="338" t="s">
        <v>78</v>
      </c>
      <c r="BX8" s="338">
        <v>1.2E-4</v>
      </c>
      <c r="BY8" s="338" t="s">
        <v>78</v>
      </c>
      <c r="BZ8" s="338" t="s">
        <v>78</v>
      </c>
      <c r="CA8" s="338" t="s">
        <v>78</v>
      </c>
      <c r="CB8" s="338" t="s">
        <v>78</v>
      </c>
      <c r="CC8" s="338" t="s">
        <v>78</v>
      </c>
      <c r="CD8" s="338" t="s">
        <v>78</v>
      </c>
      <c r="CE8" s="339" t="s">
        <v>78</v>
      </c>
      <c r="CF8" s="338" t="s">
        <v>78</v>
      </c>
      <c r="CG8" s="338" t="s">
        <v>78</v>
      </c>
      <c r="CH8" s="338" t="s">
        <v>78</v>
      </c>
      <c r="CI8" s="338" t="s">
        <v>78</v>
      </c>
      <c r="CJ8" s="339" t="s">
        <v>78</v>
      </c>
      <c r="CK8" s="338">
        <v>3.0000000000000001E-5</v>
      </c>
      <c r="CL8" s="338" t="s">
        <v>78</v>
      </c>
      <c r="CM8" s="338" t="s">
        <v>78</v>
      </c>
      <c r="CN8" s="338">
        <v>1.0000000000000001E-5</v>
      </c>
      <c r="CO8" s="338" t="s">
        <v>78</v>
      </c>
      <c r="CP8" s="338" t="s">
        <v>78</v>
      </c>
      <c r="CQ8" s="338" t="s">
        <v>78</v>
      </c>
      <c r="CR8" s="338" t="s">
        <v>78</v>
      </c>
      <c r="CS8" s="339" t="s">
        <v>78</v>
      </c>
      <c r="CT8" s="339" t="s">
        <v>78</v>
      </c>
      <c r="CU8" s="338" t="s">
        <v>78</v>
      </c>
      <c r="CV8" s="339" t="s">
        <v>78</v>
      </c>
      <c r="CW8" s="407">
        <f>CW18*(1/1020)*(1/10^6)*(91500)*1000</f>
        <v>1.3931323529411763E-3</v>
      </c>
      <c r="CX8" s="408" t="s">
        <v>78</v>
      </c>
      <c r="CY8" s="409" t="s">
        <v>78</v>
      </c>
      <c r="CZ8" s="409" t="s">
        <v>78</v>
      </c>
      <c r="DA8" s="408" t="s">
        <v>78</v>
      </c>
      <c r="DB8" s="408" t="s">
        <v>78</v>
      </c>
      <c r="DC8" s="408" t="s">
        <v>78</v>
      </c>
      <c r="DD8" s="408" t="s">
        <v>78</v>
      </c>
      <c r="DE8" s="408">
        <v>6.8999999999999997E-4</v>
      </c>
      <c r="DF8" s="408" t="s">
        <v>78</v>
      </c>
      <c r="DG8" s="408" t="s">
        <v>78</v>
      </c>
      <c r="DH8" s="409" t="s">
        <v>78</v>
      </c>
      <c r="DI8" s="409" t="s">
        <v>78</v>
      </c>
      <c r="DJ8" s="408" t="s">
        <v>78</v>
      </c>
      <c r="DK8" s="408" t="s">
        <v>78</v>
      </c>
      <c r="DL8" s="408" t="s">
        <v>78</v>
      </c>
      <c r="DM8" s="408" t="s">
        <v>78</v>
      </c>
      <c r="DN8" s="408">
        <v>5.1000000000000004E-4</v>
      </c>
      <c r="DO8" s="338" t="s">
        <v>78</v>
      </c>
      <c r="DP8" s="338" t="s">
        <v>78</v>
      </c>
      <c r="DQ8" s="14"/>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row>
    <row r="9" spans="2:158" ht="16.5" x14ac:dyDescent="0.35">
      <c r="B9" s="61"/>
      <c r="C9" s="34"/>
      <c r="D9" s="41" t="s">
        <v>334</v>
      </c>
      <c r="E9" s="355" t="s">
        <v>101</v>
      </c>
      <c r="F9" s="54" t="s">
        <v>384</v>
      </c>
      <c r="G9" s="314" t="s">
        <v>145</v>
      </c>
      <c r="H9" s="548" t="s">
        <v>455</v>
      </c>
      <c r="I9" s="151" t="s">
        <v>78</v>
      </c>
      <c r="J9" s="69" t="s">
        <v>78</v>
      </c>
      <c r="K9" s="95">
        <f t="shared" ref="K9:Y14" si="1">K19*(1/1020)*(1/10^6)*(91500)*1000</f>
        <v>1.7941176470588237E-5</v>
      </c>
      <c r="L9" s="115">
        <f t="shared" si="1"/>
        <v>3.9470588235294122E-4</v>
      </c>
      <c r="M9" s="95">
        <f t="shared" si="1"/>
        <v>1.0764705882352939E-6</v>
      </c>
      <c r="N9" s="95">
        <f t="shared" si="1"/>
        <v>9.8676470588235306E-5</v>
      </c>
      <c r="O9" s="138" t="s">
        <v>78</v>
      </c>
      <c r="P9" s="115">
        <f t="shared" si="1"/>
        <v>1.2558823529411765E-4</v>
      </c>
      <c r="Q9" s="380">
        <f t="shared" si="1"/>
        <v>7.535294117647058E-6</v>
      </c>
      <c r="R9" s="95">
        <f t="shared" si="1"/>
        <v>7.6249999999999983E-5</v>
      </c>
      <c r="S9" s="95">
        <f t="shared" si="1"/>
        <v>4.4852941176470584E-5</v>
      </c>
      <c r="T9" s="95">
        <f t="shared" si="1"/>
        <v>3.4088235294117648E-5</v>
      </c>
      <c r="U9" s="95">
        <f t="shared" si="1"/>
        <v>2.3323529411764702E-5</v>
      </c>
      <c r="V9" s="135">
        <f t="shared" si="1"/>
        <v>9.8676470588235306E-5</v>
      </c>
      <c r="W9" s="183">
        <f t="shared" si="1"/>
        <v>1.8838235294117646E-4</v>
      </c>
      <c r="X9" s="69" t="s">
        <v>78</v>
      </c>
      <c r="Y9" s="95">
        <f t="shared" si="1"/>
        <v>2.1529411764705878E-6</v>
      </c>
      <c r="Z9" s="17" t="s">
        <v>78</v>
      </c>
      <c r="AA9" s="17" t="s">
        <v>78</v>
      </c>
      <c r="AB9" s="183">
        <f t="shared" si="0"/>
        <v>2.0632352941176468E-4</v>
      </c>
      <c r="AC9" s="242">
        <f t="shared" si="0"/>
        <v>2.6014705882352941E-3</v>
      </c>
      <c r="AD9" s="69" t="s">
        <v>78</v>
      </c>
      <c r="AE9" s="69" t="s">
        <v>78</v>
      </c>
      <c r="AF9" s="338">
        <v>2.7999999999999998E-4</v>
      </c>
      <c r="AG9" s="339" t="s">
        <v>78</v>
      </c>
      <c r="AH9" s="338">
        <v>2.4000000000000001E-4</v>
      </c>
      <c r="AI9" s="338" t="s">
        <v>78</v>
      </c>
      <c r="AJ9" s="340">
        <v>0.3</v>
      </c>
      <c r="AK9" s="339" t="s">
        <v>78</v>
      </c>
      <c r="AL9" s="338" t="s">
        <v>78</v>
      </c>
      <c r="AM9" s="338">
        <v>5.1000000000000004E-4</v>
      </c>
      <c r="AN9" s="338" t="s">
        <v>78</v>
      </c>
      <c r="AO9" s="338" t="s">
        <v>78</v>
      </c>
      <c r="AP9" s="339" t="s">
        <v>78</v>
      </c>
      <c r="AQ9" s="339" t="s">
        <v>78</v>
      </c>
      <c r="AR9" s="338" t="s">
        <v>78</v>
      </c>
      <c r="AS9" s="338" t="s">
        <v>78</v>
      </c>
      <c r="AT9" s="338" t="s">
        <v>78</v>
      </c>
      <c r="AU9" s="338" t="s">
        <v>78</v>
      </c>
      <c r="AV9" s="338" t="s">
        <v>78</v>
      </c>
      <c r="AW9" s="338" t="s">
        <v>78</v>
      </c>
      <c r="AX9" s="338" t="s">
        <v>78</v>
      </c>
      <c r="AY9" s="338" t="s">
        <v>78</v>
      </c>
      <c r="AZ9" s="339" t="s">
        <v>78</v>
      </c>
      <c r="BA9" s="338" t="s">
        <v>78</v>
      </c>
      <c r="BB9" s="338" t="s">
        <v>78</v>
      </c>
      <c r="BC9" s="339" t="s">
        <v>78</v>
      </c>
      <c r="BD9" s="339" t="s">
        <v>78</v>
      </c>
      <c r="BE9" s="338" t="s">
        <v>78</v>
      </c>
      <c r="BF9" s="338" t="s">
        <v>78</v>
      </c>
      <c r="BG9" s="338">
        <v>6.0999999999999997E-4</v>
      </c>
      <c r="BH9" s="338" t="s">
        <v>78</v>
      </c>
      <c r="BI9" s="338" t="s">
        <v>78</v>
      </c>
      <c r="BJ9" s="338" t="s">
        <v>78</v>
      </c>
      <c r="BK9" s="339" t="s">
        <v>78</v>
      </c>
      <c r="BL9" s="339" t="s">
        <v>78</v>
      </c>
      <c r="BM9" s="338">
        <v>1.09E-3</v>
      </c>
      <c r="BN9" s="338" t="s">
        <v>78</v>
      </c>
      <c r="BO9" s="338" t="s">
        <v>78</v>
      </c>
      <c r="BP9" s="338" t="s">
        <v>78</v>
      </c>
      <c r="BQ9" s="338" t="s">
        <v>78</v>
      </c>
      <c r="BR9" s="338" t="s">
        <v>78</v>
      </c>
      <c r="BS9" s="338" t="s">
        <v>78</v>
      </c>
      <c r="BT9" s="338" t="s">
        <v>78</v>
      </c>
      <c r="BU9" s="338" t="s">
        <v>78</v>
      </c>
      <c r="BV9" s="338" t="s">
        <v>78</v>
      </c>
      <c r="BW9" s="338" t="s">
        <v>78</v>
      </c>
      <c r="BX9" s="338">
        <v>4.0999999999999999E-4</v>
      </c>
      <c r="BY9" s="338" t="s">
        <v>78</v>
      </c>
      <c r="BZ9" s="338" t="s">
        <v>78</v>
      </c>
      <c r="CA9" s="338" t="s">
        <v>78</v>
      </c>
      <c r="CB9" s="338" t="s">
        <v>78</v>
      </c>
      <c r="CC9" s="338" t="s">
        <v>78</v>
      </c>
      <c r="CD9" s="338" t="s">
        <v>78</v>
      </c>
      <c r="CE9" s="339" t="s">
        <v>78</v>
      </c>
      <c r="CF9" s="338" t="s">
        <v>78</v>
      </c>
      <c r="CG9" s="338" t="s">
        <v>78</v>
      </c>
      <c r="CH9" s="338" t="s">
        <v>78</v>
      </c>
      <c r="CI9" s="338" t="s">
        <v>78</v>
      </c>
      <c r="CJ9" s="339" t="s">
        <v>78</v>
      </c>
      <c r="CK9" s="338">
        <v>3.0000000000000001E-5</v>
      </c>
      <c r="CL9" s="338" t="s">
        <v>78</v>
      </c>
      <c r="CM9" s="338" t="s">
        <v>78</v>
      </c>
      <c r="CN9" s="338">
        <v>1.0000000000000001E-5</v>
      </c>
      <c r="CO9" s="338" t="s">
        <v>78</v>
      </c>
      <c r="CP9" s="338" t="s">
        <v>78</v>
      </c>
      <c r="CQ9" s="338" t="s">
        <v>78</v>
      </c>
      <c r="CR9" s="338" t="s">
        <v>78</v>
      </c>
      <c r="CS9" s="339" t="s">
        <v>78</v>
      </c>
      <c r="CT9" s="339" t="s">
        <v>78</v>
      </c>
      <c r="CU9" s="338" t="s">
        <v>78</v>
      </c>
      <c r="CV9" s="339" t="s">
        <v>78</v>
      </c>
      <c r="CW9" s="356">
        <f t="shared" ref="CW9:CW14" si="2">CW19*(1/1020)*(1/10^6)*(91500)*1000</f>
        <v>4.7544117647058827E-2</v>
      </c>
      <c r="CX9" s="338" t="s">
        <v>78</v>
      </c>
      <c r="CY9" s="339" t="s">
        <v>78</v>
      </c>
      <c r="CZ9" s="339" t="s">
        <v>78</v>
      </c>
      <c r="DA9" s="338" t="s">
        <v>78</v>
      </c>
      <c r="DB9" s="338" t="s">
        <v>78</v>
      </c>
      <c r="DC9" s="338" t="s">
        <v>78</v>
      </c>
      <c r="DD9" s="338" t="s">
        <v>78</v>
      </c>
      <c r="DE9" s="338">
        <v>2.3500000000000001E-3</v>
      </c>
      <c r="DF9" s="338" t="s">
        <v>78</v>
      </c>
      <c r="DG9" s="338" t="s">
        <v>78</v>
      </c>
      <c r="DH9" s="339" t="s">
        <v>78</v>
      </c>
      <c r="DI9" s="339" t="s">
        <v>78</v>
      </c>
      <c r="DJ9" s="338" t="s">
        <v>78</v>
      </c>
      <c r="DK9" s="338" t="s">
        <v>78</v>
      </c>
      <c r="DL9" s="338" t="s">
        <v>78</v>
      </c>
      <c r="DM9" s="338" t="s">
        <v>78</v>
      </c>
      <c r="DN9" s="338">
        <v>1.75E-3</v>
      </c>
      <c r="DO9" s="338" t="s">
        <v>78</v>
      </c>
      <c r="DP9" s="338" t="s">
        <v>78</v>
      </c>
      <c r="DQ9" s="14"/>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row>
    <row r="10" spans="2:158" ht="16.5" x14ac:dyDescent="0.35">
      <c r="B10" s="61"/>
      <c r="C10" s="34"/>
      <c r="D10" s="41" t="s">
        <v>334</v>
      </c>
      <c r="E10" s="355" t="s">
        <v>87</v>
      </c>
      <c r="F10" s="54" t="s">
        <v>384</v>
      </c>
      <c r="G10" s="314" t="s">
        <v>145</v>
      </c>
      <c r="H10" s="548" t="s">
        <v>455</v>
      </c>
      <c r="I10" s="151" t="s">
        <v>78</v>
      </c>
      <c r="J10" s="69" t="s">
        <v>78</v>
      </c>
      <c r="K10" s="95">
        <f t="shared" si="1"/>
        <v>1.7941176470588237E-5</v>
      </c>
      <c r="L10" s="115">
        <f t="shared" si="1"/>
        <v>3.9470588235294122E-4</v>
      </c>
      <c r="M10" s="95">
        <f t="shared" si="1"/>
        <v>1.0764705882352939E-6</v>
      </c>
      <c r="N10" s="95">
        <f t="shared" si="1"/>
        <v>9.8676470588235306E-5</v>
      </c>
      <c r="O10" s="138" t="s">
        <v>78</v>
      </c>
      <c r="P10" s="115">
        <f t="shared" si="1"/>
        <v>1.2558823529411765E-4</v>
      </c>
      <c r="Q10" s="380">
        <f t="shared" si="1"/>
        <v>7.535294117647058E-6</v>
      </c>
      <c r="R10" s="95">
        <f t="shared" si="1"/>
        <v>7.6249999999999983E-5</v>
      </c>
      <c r="S10" s="95">
        <f t="shared" si="1"/>
        <v>4.4852941176470584E-5</v>
      </c>
      <c r="T10" s="95">
        <f t="shared" si="1"/>
        <v>3.4088235294117648E-5</v>
      </c>
      <c r="U10" s="95">
        <f t="shared" si="1"/>
        <v>2.3323529411764702E-5</v>
      </c>
      <c r="V10" s="135">
        <f t="shared" si="1"/>
        <v>9.8676470588235306E-5</v>
      </c>
      <c r="W10" s="183">
        <f t="shared" si="1"/>
        <v>1.8838235294117646E-4</v>
      </c>
      <c r="X10" s="69" t="s">
        <v>78</v>
      </c>
      <c r="Y10" s="95">
        <f t="shared" si="1"/>
        <v>2.1529411764705878E-6</v>
      </c>
      <c r="Z10" s="17" t="s">
        <v>78</v>
      </c>
      <c r="AA10" s="17" t="s">
        <v>78</v>
      </c>
      <c r="AB10" s="183">
        <f t="shared" si="0"/>
        <v>2.0632352941176468E-4</v>
      </c>
      <c r="AC10" s="242">
        <f t="shared" si="0"/>
        <v>2.6014705882352941E-3</v>
      </c>
      <c r="AD10" s="69" t="s">
        <v>78</v>
      </c>
      <c r="AE10" s="69" t="s">
        <v>78</v>
      </c>
      <c r="AF10" s="338">
        <v>3.8000000000000002E-4</v>
      </c>
      <c r="AG10" s="339" t="s">
        <v>78</v>
      </c>
      <c r="AH10" s="338">
        <v>2.4000000000000001E-4</v>
      </c>
      <c r="AI10" s="338" t="s">
        <v>78</v>
      </c>
      <c r="AJ10" s="340">
        <v>0.3</v>
      </c>
      <c r="AK10" s="339" t="s">
        <v>78</v>
      </c>
      <c r="AL10" s="338" t="s">
        <v>78</v>
      </c>
      <c r="AM10" s="338">
        <v>7.1000000000000002E-4</v>
      </c>
      <c r="AN10" s="338" t="s">
        <v>78</v>
      </c>
      <c r="AO10" s="338" t="s">
        <v>78</v>
      </c>
      <c r="AP10" s="339" t="s">
        <v>78</v>
      </c>
      <c r="AQ10" s="339" t="s">
        <v>78</v>
      </c>
      <c r="AR10" s="338" t="s">
        <v>78</v>
      </c>
      <c r="AS10" s="338" t="s">
        <v>78</v>
      </c>
      <c r="AT10" s="338" t="s">
        <v>78</v>
      </c>
      <c r="AU10" s="338" t="s">
        <v>78</v>
      </c>
      <c r="AV10" s="338" t="s">
        <v>78</v>
      </c>
      <c r="AW10" s="338" t="s">
        <v>78</v>
      </c>
      <c r="AX10" s="338" t="s">
        <v>78</v>
      </c>
      <c r="AY10" s="338" t="s">
        <v>78</v>
      </c>
      <c r="AZ10" s="339" t="s">
        <v>78</v>
      </c>
      <c r="BA10" s="338" t="s">
        <v>78</v>
      </c>
      <c r="BB10" s="338" t="s">
        <v>78</v>
      </c>
      <c r="BC10" s="339" t="s">
        <v>78</v>
      </c>
      <c r="BD10" s="339" t="s">
        <v>78</v>
      </c>
      <c r="BE10" s="338" t="s">
        <v>78</v>
      </c>
      <c r="BF10" s="338" t="s">
        <v>78</v>
      </c>
      <c r="BG10" s="338">
        <v>8.4000000000000003E-4</v>
      </c>
      <c r="BH10" s="338" t="s">
        <v>78</v>
      </c>
      <c r="BI10" s="338" t="s">
        <v>78</v>
      </c>
      <c r="BJ10" s="338" t="s">
        <v>78</v>
      </c>
      <c r="BK10" s="339" t="s">
        <v>78</v>
      </c>
      <c r="BL10" s="339" t="s">
        <v>78</v>
      </c>
      <c r="BM10" s="338">
        <v>1.5100000000000001E-3</v>
      </c>
      <c r="BN10" s="338" t="s">
        <v>78</v>
      </c>
      <c r="BO10" s="338" t="s">
        <v>78</v>
      </c>
      <c r="BP10" s="338" t="s">
        <v>78</v>
      </c>
      <c r="BQ10" s="338" t="s">
        <v>78</v>
      </c>
      <c r="BR10" s="338" t="s">
        <v>78</v>
      </c>
      <c r="BS10" s="338" t="s">
        <v>78</v>
      </c>
      <c r="BT10" s="338" t="s">
        <v>78</v>
      </c>
      <c r="BU10" s="338" t="s">
        <v>78</v>
      </c>
      <c r="BV10" s="338" t="s">
        <v>78</v>
      </c>
      <c r="BW10" s="338" t="s">
        <v>78</v>
      </c>
      <c r="BX10" s="338">
        <v>5.5999999999999995E-4</v>
      </c>
      <c r="BY10" s="338" t="s">
        <v>78</v>
      </c>
      <c r="BZ10" s="338" t="s">
        <v>78</v>
      </c>
      <c r="CA10" s="338" t="s">
        <v>78</v>
      </c>
      <c r="CB10" s="338" t="s">
        <v>78</v>
      </c>
      <c r="CC10" s="338" t="s">
        <v>78</v>
      </c>
      <c r="CD10" s="338" t="s">
        <v>78</v>
      </c>
      <c r="CE10" s="339" t="s">
        <v>78</v>
      </c>
      <c r="CF10" s="338" t="s">
        <v>78</v>
      </c>
      <c r="CG10" s="338" t="s">
        <v>78</v>
      </c>
      <c r="CH10" s="338" t="s">
        <v>78</v>
      </c>
      <c r="CI10" s="338" t="s">
        <v>78</v>
      </c>
      <c r="CJ10" s="339" t="s">
        <v>78</v>
      </c>
      <c r="CK10" s="338">
        <v>3.0000000000000001E-5</v>
      </c>
      <c r="CL10" s="338" t="s">
        <v>78</v>
      </c>
      <c r="CM10" s="338" t="s">
        <v>78</v>
      </c>
      <c r="CN10" s="338">
        <v>1.0000000000000001E-5</v>
      </c>
      <c r="CO10" s="338" t="s">
        <v>78</v>
      </c>
      <c r="CP10" s="338" t="s">
        <v>78</v>
      </c>
      <c r="CQ10" s="338" t="s">
        <v>78</v>
      </c>
      <c r="CR10" s="338" t="s">
        <v>78</v>
      </c>
      <c r="CS10" s="339" t="s">
        <v>78</v>
      </c>
      <c r="CT10" s="339" t="s">
        <v>78</v>
      </c>
      <c r="CU10" s="338" t="s">
        <v>78</v>
      </c>
      <c r="CV10" s="339" t="s">
        <v>78</v>
      </c>
      <c r="CW10" s="356">
        <f t="shared" si="2"/>
        <v>6.5574999999999994E-2</v>
      </c>
      <c r="CX10" s="338" t="s">
        <v>78</v>
      </c>
      <c r="CY10" s="339" t="s">
        <v>78</v>
      </c>
      <c r="CZ10" s="339" t="s">
        <v>78</v>
      </c>
      <c r="DA10" s="338" t="s">
        <v>78</v>
      </c>
      <c r="DB10" s="338" t="s">
        <v>78</v>
      </c>
      <c r="DC10" s="338" t="s">
        <v>78</v>
      </c>
      <c r="DD10" s="338" t="s">
        <v>78</v>
      </c>
      <c r="DE10" s="338">
        <v>3.2499999999999999E-3</v>
      </c>
      <c r="DF10" s="338" t="s">
        <v>78</v>
      </c>
      <c r="DG10" s="338" t="s">
        <v>78</v>
      </c>
      <c r="DH10" s="339" t="s">
        <v>78</v>
      </c>
      <c r="DI10" s="339" t="s">
        <v>78</v>
      </c>
      <c r="DJ10" s="338" t="s">
        <v>78</v>
      </c>
      <c r="DK10" s="338" t="s">
        <v>78</v>
      </c>
      <c r="DL10" s="338" t="s">
        <v>78</v>
      </c>
      <c r="DM10" s="338" t="s">
        <v>78</v>
      </c>
      <c r="DN10" s="338">
        <v>2.4099999999999998E-3</v>
      </c>
      <c r="DO10" s="338" t="s">
        <v>78</v>
      </c>
      <c r="DP10" s="338" t="s">
        <v>78</v>
      </c>
      <c r="DQ10" s="14"/>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row>
    <row r="11" spans="2:158" x14ac:dyDescent="0.35">
      <c r="B11" s="61"/>
      <c r="C11" s="34"/>
      <c r="D11" s="41"/>
      <c r="E11" s="141" t="s">
        <v>86</v>
      </c>
      <c r="F11" s="54"/>
      <c r="G11" s="314"/>
      <c r="H11" s="549"/>
      <c r="I11" s="193"/>
      <c r="J11" s="97"/>
      <c r="K11" s="95"/>
      <c r="L11" s="115"/>
      <c r="M11" s="95"/>
      <c r="N11" s="95"/>
      <c r="O11" s="17"/>
      <c r="P11" s="115"/>
      <c r="Q11" s="380"/>
      <c r="R11" s="95"/>
      <c r="S11" s="95"/>
      <c r="T11" s="95"/>
      <c r="U11" s="95"/>
      <c r="V11" s="135"/>
      <c r="W11" s="183"/>
      <c r="X11" s="69"/>
      <c r="Y11" s="95"/>
      <c r="Z11" s="95"/>
      <c r="AA11" s="95"/>
      <c r="AB11" s="183"/>
      <c r="AC11" s="242"/>
      <c r="AD11" s="69"/>
      <c r="AE11" s="69"/>
      <c r="AF11" s="17"/>
      <c r="AG11" s="69"/>
      <c r="AH11" s="17"/>
      <c r="AI11" s="17"/>
      <c r="AJ11" s="17"/>
      <c r="AK11" s="69"/>
      <c r="AL11" s="17"/>
      <c r="AM11" s="17"/>
      <c r="AN11" s="17"/>
      <c r="AO11" s="17"/>
      <c r="AP11" s="69"/>
      <c r="AQ11" s="69"/>
      <c r="AR11" s="17"/>
      <c r="AS11" s="17"/>
      <c r="AT11" s="17"/>
      <c r="AU11" s="17"/>
      <c r="AV11" s="17"/>
      <c r="AW11" s="17"/>
      <c r="AX11" s="17"/>
      <c r="AY11" s="17"/>
      <c r="AZ11" s="69"/>
      <c r="BA11" s="17"/>
      <c r="BB11" s="17"/>
      <c r="BC11" s="69"/>
      <c r="BD11" s="69"/>
      <c r="BE11" s="17"/>
      <c r="BF11" s="17"/>
      <c r="BG11" s="17"/>
      <c r="BH11" s="17"/>
      <c r="BI11" s="17"/>
      <c r="BJ11" s="17"/>
      <c r="BK11" s="69"/>
      <c r="BL11" s="69"/>
      <c r="BM11" s="17"/>
      <c r="BN11" s="17"/>
      <c r="BO11" s="17"/>
      <c r="BP11" s="17"/>
      <c r="BQ11" s="17"/>
      <c r="BR11" s="17"/>
      <c r="BS11" s="17"/>
      <c r="BT11" s="17"/>
      <c r="BU11" s="17"/>
      <c r="BV11" s="17"/>
      <c r="BW11" s="17"/>
      <c r="BX11" s="17"/>
      <c r="BY11" s="17"/>
      <c r="BZ11" s="17"/>
      <c r="CA11" s="17"/>
      <c r="CB11" s="17"/>
      <c r="CC11" s="17"/>
      <c r="CD11" s="17"/>
      <c r="CE11" s="69"/>
      <c r="CF11" s="17"/>
      <c r="CG11" s="17"/>
      <c r="CH11" s="17"/>
      <c r="CI11" s="17"/>
      <c r="CJ11" s="69"/>
      <c r="CK11" s="17"/>
      <c r="CL11" s="17"/>
      <c r="CM11" s="17"/>
      <c r="CN11" s="17"/>
      <c r="CO11" s="17"/>
      <c r="CP11" s="17"/>
      <c r="CQ11" s="17"/>
      <c r="CR11" s="17"/>
      <c r="CS11" s="69"/>
      <c r="CT11" s="69"/>
      <c r="CU11" s="17"/>
      <c r="CV11" s="69"/>
      <c r="CW11" s="356"/>
      <c r="CX11" s="17"/>
      <c r="CY11" s="69"/>
      <c r="CZ11" s="69"/>
      <c r="DA11" s="17"/>
      <c r="DB11" s="17"/>
      <c r="DC11" s="17"/>
      <c r="DD11" s="17"/>
      <c r="DE11" s="17"/>
      <c r="DF11" s="17"/>
      <c r="DG11" s="17"/>
      <c r="DH11" s="69"/>
      <c r="DI11" s="69"/>
      <c r="DJ11" s="17"/>
      <c r="DK11" s="17"/>
      <c r="DL11" s="17"/>
      <c r="DM11" s="17"/>
      <c r="DN11" s="17"/>
      <c r="DO11" s="17"/>
      <c r="DP11" s="17"/>
      <c r="DQ11" s="14"/>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row>
    <row r="12" spans="2:158" ht="16.5" x14ac:dyDescent="0.35">
      <c r="B12" s="61"/>
      <c r="C12" s="34"/>
      <c r="D12" s="41">
        <v>10301002</v>
      </c>
      <c r="E12" s="355" t="s">
        <v>99</v>
      </c>
      <c r="F12" s="54" t="s">
        <v>384</v>
      </c>
      <c r="G12" s="314" t="s">
        <v>145</v>
      </c>
      <c r="H12" s="548" t="s">
        <v>455</v>
      </c>
      <c r="I12" s="151" t="s">
        <v>78</v>
      </c>
      <c r="J12" s="69" t="s">
        <v>78</v>
      </c>
      <c r="K12" s="95">
        <f t="shared" si="1"/>
        <v>1.7941176470588237E-5</v>
      </c>
      <c r="L12" s="115">
        <f t="shared" si="1"/>
        <v>3.9470588235294122E-4</v>
      </c>
      <c r="M12" s="95">
        <f t="shared" si="1"/>
        <v>1.0764705882352939E-6</v>
      </c>
      <c r="N12" s="95">
        <f t="shared" si="1"/>
        <v>9.8676470588235306E-5</v>
      </c>
      <c r="O12" s="138" t="s">
        <v>78</v>
      </c>
      <c r="P12" s="115">
        <f t="shared" si="1"/>
        <v>1.2558823529411765E-4</v>
      </c>
      <c r="Q12" s="380">
        <f t="shared" si="1"/>
        <v>7.535294117647058E-6</v>
      </c>
      <c r="R12" s="95">
        <f t="shared" si="1"/>
        <v>7.6249999999999983E-5</v>
      </c>
      <c r="S12" s="95">
        <f t="shared" si="1"/>
        <v>4.4852941176470584E-5</v>
      </c>
      <c r="T12" s="95">
        <f t="shared" si="1"/>
        <v>3.4088235294117648E-5</v>
      </c>
      <c r="U12" s="95">
        <f t="shared" si="1"/>
        <v>2.3323529411764702E-5</v>
      </c>
      <c r="V12" s="135">
        <f t="shared" si="1"/>
        <v>9.8676470588235306E-5</v>
      </c>
      <c r="W12" s="183">
        <f t="shared" si="1"/>
        <v>1.8838235294117646E-4</v>
      </c>
      <c r="X12" s="69" t="s">
        <v>78</v>
      </c>
      <c r="Y12" s="95">
        <f t="shared" si="1"/>
        <v>2.1529411764705878E-6</v>
      </c>
      <c r="Z12" s="17" t="s">
        <v>78</v>
      </c>
      <c r="AA12" s="17" t="s">
        <v>78</v>
      </c>
      <c r="AB12" s="183">
        <f t="shared" ref="AB12:AC14" si="3">AB22*(1/1020)*(1/10^6)*(91500)*1000</f>
        <v>2.0632352941176468E-4</v>
      </c>
      <c r="AC12" s="242">
        <f t="shared" si="3"/>
        <v>2.6014705882352941E-3</v>
      </c>
      <c r="AD12" s="69" t="s">
        <v>78</v>
      </c>
      <c r="AE12" s="69" t="s">
        <v>78</v>
      </c>
      <c r="AF12" s="17">
        <v>8.0000000000000007E-5</v>
      </c>
      <c r="AG12" s="69" t="s">
        <v>78</v>
      </c>
      <c r="AH12" s="17">
        <v>6.9999999999999994E-5</v>
      </c>
      <c r="AI12" s="17" t="s">
        <v>78</v>
      </c>
      <c r="AJ12" s="60">
        <v>0.3</v>
      </c>
      <c r="AK12" s="69" t="s">
        <v>78</v>
      </c>
      <c r="AL12" s="17" t="s">
        <v>78</v>
      </c>
      <c r="AM12" s="17">
        <v>1.4999999999999999E-4</v>
      </c>
      <c r="AN12" s="17" t="s">
        <v>78</v>
      </c>
      <c r="AO12" s="17" t="s">
        <v>78</v>
      </c>
      <c r="AP12" s="69" t="s">
        <v>78</v>
      </c>
      <c r="AQ12" s="69" t="s">
        <v>78</v>
      </c>
      <c r="AR12" s="17" t="s">
        <v>78</v>
      </c>
      <c r="AS12" s="17" t="s">
        <v>78</v>
      </c>
      <c r="AT12" s="17" t="s">
        <v>78</v>
      </c>
      <c r="AU12" s="17" t="s">
        <v>78</v>
      </c>
      <c r="AV12" s="17" t="s">
        <v>78</v>
      </c>
      <c r="AW12" s="17" t="s">
        <v>78</v>
      </c>
      <c r="AX12" s="17" t="s">
        <v>78</v>
      </c>
      <c r="AY12" s="17" t="s">
        <v>78</v>
      </c>
      <c r="AZ12" s="69" t="s">
        <v>78</v>
      </c>
      <c r="BA12" s="17" t="s">
        <v>78</v>
      </c>
      <c r="BB12" s="17" t="s">
        <v>78</v>
      </c>
      <c r="BC12" s="69" t="s">
        <v>78</v>
      </c>
      <c r="BD12" s="69" t="s">
        <v>78</v>
      </c>
      <c r="BE12" s="17" t="s">
        <v>78</v>
      </c>
      <c r="BF12" s="17" t="s">
        <v>78</v>
      </c>
      <c r="BG12" s="17">
        <v>1.8000000000000001E-4</v>
      </c>
      <c r="BH12" s="17" t="s">
        <v>78</v>
      </c>
      <c r="BI12" s="17" t="s">
        <v>78</v>
      </c>
      <c r="BJ12" s="17" t="s">
        <v>78</v>
      </c>
      <c r="BK12" s="69" t="s">
        <v>78</v>
      </c>
      <c r="BL12" s="69" t="s">
        <v>78</v>
      </c>
      <c r="BM12" s="17">
        <v>3.2000000000000003E-4</v>
      </c>
      <c r="BN12" s="17" t="s">
        <v>78</v>
      </c>
      <c r="BO12" s="17" t="s">
        <v>78</v>
      </c>
      <c r="BP12" s="17" t="s">
        <v>78</v>
      </c>
      <c r="BQ12" s="17" t="s">
        <v>78</v>
      </c>
      <c r="BR12" s="17" t="s">
        <v>78</v>
      </c>
      <c r="BS12" s="17" t="s">
        <v>78</v>
      </c>
      <c r="BT12" s="17" t="s">
        <v>78</v>
      </c>
      <c r="BU12" s="17" t="s">
        <v>78</v>
      </c>
      <c r="BV12" s="17" t="s">
        <v>78</v>
      </c>
      <c r="BW12" s="17" t="s">
        <v>78</v>
      </c>
      <c r="BX12" s="17">
        <v>1.2E-4</v>
      </c>
      <c r="BY12" s="17" t="s">
        <v>78</v>
      </c>
      <c r="BZ12" s="17" t="s">
        <v>78</v>
      </c>
      <c r="CA12" s="17" t="s">
        <v>78</v>
      </c>
      <c r="CB12" s="17" t="s">
        <v>78</v>
      </c>
      <c r="CC12" s="17" t="s">
        <v>78</v>
      </c>
      <c r="CD12" s="17" t="s">
        <v>78</v>
      </c>
      <c r="CE12" s="69" t="s">
        <v>78</v>
      </c>
      <c r="CF12" s="17" t="s">
        <v>78</v>
      </c>
      <c r="CG12" s="17" t="s">
        <v>78</v>
      </c>
      <c r="CH12" s="17" t="s">
        <v>78</v>
      </c>
      <c r="CI12" s="17" t="s">
        <v>78</v>
      </c>
      <c r="CJ12" s="69" t="s">
        <v>78</v>
      </c>
      <c r="CK12" s="17">
        <v>3.0000000000000001E-5</v>
      </c>
      <c r="CL12" s="17" t="s">
        <v>78</v>
      </c>
      <c r="CM12" s="17" t="s">
        <v>78</v>
      </c>
      <c r="CN12" s="17">
        <v>1.0000000000000001E-5</v>
      </c>
      <c r="CO12" s="17" t="s">
        <v>78</v>
      </c>
      <c r="CP12" s="17" t="s">
        <v>78</v>
      </c>
      <c r="CQ12" s="17" t="s">
        <v>78</v>
      </c>
      <c r="CR12" s="17" t="s">
        <v>78</v>
      </c>
      <c r="CS12" s="69" t="s">
        <v>78</v>
      </c>
      <c r="CT12" s="69" t="s">
        <v>78</v>
      </c>
      <c r="CU12" s="338" t="s">
        <v>78</v>
      </c>
      <c r="CV12" s="69" t="s">
        <v>78</v>
      </c>
      <c r="CW12" s="407">
        <f t="shared" si="2"/>
        <v>1.3931323529411763E-3</v>
      </c>
      <c r="CX12" s="17" t="s">
        <v>78</v>
      </c>
      <c r="CY12" s="69" t="s">
        <v>78</v>
      </c>
      <c r="CZ12" s="69" t="s">
        <v>78</v>
      </c>
      <c r="DA12" s="17" t="s">
        <v>78</v>
      </c>
      <c r="DB12" s="17" t="s">
        <v>78</v>
      </c>
      <c r="DC12" s="17" t="s">
        <v>78</v>
      </c>
      <c r="DD12" s="17" t="s">
        <v>78</v>
      </c>
      <c r="DE12" s="17">
        <v>6.8999999999999997E-4</v>
      </c>
      <c r="DF12" s="17" t="s">
        <v>78</v>
      </c>
      <c r="DG12" s="17" t="s">
        <v>78</v>
      </c>
      <c r="DH12" s="69" t="s">
        <v>78</v>
      </c>
      <c r="DI12" s="69" t="s">
        <v>78</v>
      </c>
      <c r="DJ12" s="17" t="s">
        <v>78</v>
      </c>
      <c r="DK12" s="17" t="s">
        <v>78</v>
      </c>
      <c r="DL12" s="17" t="s">
        <v>78</v>
      </c>
      <c r="DM12" s="17" t="s">
        <v>78</v>
      </c>
      <c r="DN12" s="17">
        <v>5.1000000000000004E-4</v>
      </c>
      <c r="DO12" s="17" t="s">
        <v>78</v>
      </c>
      <c r="DP12" s="17" t="s">
        <v>78</v>
      </c>
      <c r="DQ12" s="14"/>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row>
    <row r="13" spans="2:158" ht="16.5" x14ac:dyDescent="0.35">
      <c r="B13" s="61"/>
      <c r="C13" s="34"/>
      <c r="D13" s="41">
        <v>10301002</v>
      </c>
      <c r="E13" s="355" t="s">
        <v>101</v>
      </c>
      <c r="F13" s="54" t="s">
        <v>384</v>
      </c>
      <c r="G13" s="314" t="s">
        <v>145</v>
      </c>
      <c r="H13" s="548" t="s">
        <v>455</v>
      </c>
      <c r="I13" s="151" t="s">
        <v>78</v>
      </c>
      <c r="J13" s="69" t="s">
        <v>78</v>
      </c>
      <c r="K13" s="95">
        <f t="shared" si="1"/>
        <v>1.7941176470588237E-5</v>
      </c>
      <c r="L13" s="115">
        <f t="shared" si="1"/>
        <v>3.9470588235294122E-4</v>
      </c>
      <c r="M13" s="95">
        <f t="shared" si="1"/>
        <v>1.0764705882352939E-6</v>
      </c>
      <c r="N13" s="95">
        <f t="shared" si="1"/>
        <v>9.8676470588235306E-5</v>
      </c>
      <c r="O13" s="138" t="s">
        <v>78</v>
      </c>
      <c r="P13" s="115">
        <f t="shared" si="1"/>
        <v>1.2558823529411765E-4</v>
      </c>
      <c r="Q13" s="380">
        <f t="shared" si="1"/>
        <v>7.535294117647058E-6</v>
      </c>
      <c r="R13" s="95">
        <f t="shared" si="1"/>
        <v>7.6249999999999983E-5</v>
      </c>
      <c r="S13" s="95">
        <f t="shared" si="1"/>
        <v>4.4852941176470584E-5</v>
      </c>
      <c r="T13" s="95">
        <f t="shared" si="1"/>
        <v>3.4088235294117648E-5</v>
      </c>
      <c r="U13" s="95">
        <f t="shared" si="1"/>
        <v>2.3323529411764702E-5</v>
      </c>
      <c r="V13" s="135">
        <f t="shared" si="1"/>
        <v>9.8676470588235306E-5</v>
      </c>
      <c r="W13" s="183">
        <f t="shared" si="1"/>
        <v>1.8838235294117646E-4</v>
      </c>
      <c r="X13" s="69" t="s">
        <v>78</v>
      </c>
      <c r="Y13" s="95">
        <f t="shared" si="1"/>
        <v>2.1529411764705878E-6</v>
      </c>
      <c r="Z13" s="17" t="s">
        <v>78</v>
      </c>
      <c r="AA13" s="17" t="s">
        <v>78</v>
      </c>
      <c r="AB13" s="183">
        <f t="shared" si="3"/>
        <v>2.0632352941176468E-4</v>
      </c>
      <c r="AC13" s="242">
        <f t="shared" si="3"/>
        <v>2.6014705882352941E-3</v>
      </c>
      <c r="AD13" s="69" t="s">
        <v>78</v>
      </c>
      <c r="AE13" s="69" t="s">
        <v>78</v>
      </c>
      <c r="AF13" s="17">
        <v>2.7999999999999998E-4</v>
      </c>
      <c r="AG13" s="69" t="s">
        <v>78</v>
      </c>
      <c r="AH13" s="17">
        <v>2.4000000000000001E-4</v>
      </c>
      <c r="AI13" s="17" t="s">
        <v>78</v>
      </c>
      <c r="AJ13" s="60">
        <v>0.3</v>
      </c>
      <c r="AK13" s="69" t="s">
        <v>78</v>
      </c>
      <c r="AL13" s="17" t="s">
        <v>78</v>
      </c>
      <c r="AM13" s="17">
        <v>5.1000000000000004E-4</v>
      </c>
      <c r="AN13" s="17" t="s">
        <v>78</v>
      </c>
      <c r="AO13" s="17" t="s">
        <v>78</v>
      </c>
      <c r="AP13" s="69" t="s">
        <v>78</v>
      </c>
      <c r="AQ13" s="69" t="s">
        <v>78</v>
      </c>
      <c r="AR13" s="17" t="s">
        <v>78</v>
      </c>
      <c r="AS13" s="17" t="s">
        <v>78</v>
      </c>
      <c r="AT13" s="17" t="s">
        <v>78</v>
      </c>
      <c r="AU13" s="17" t="s">
        <v>78</v>
      </c>
      <c r="AV13" s="17" t="s">
        <v>78</v>
      </c>
      <c r="AW13" s="17" t="s">
        <v>78</v>
      </c>
      <c r="AX13" s="17" t="s">
        <v>78</v>
      </c>
      <c r="AY13" s="17" t="s">
        <v>78</v>
      </c>
      <c r="AZ13" s="69" t="s">
        <v>78</v>
      </c>
      <c r="BA13" s="17" t="s">
        <v>78</v>
      </c>
      <c r="BB13" s="17" t="s">
        <v>78</v>
      </c>
      <c r="BC13" s="69" t="s">
        <v>78</v>
      </c>
      <c r="BD13" s="69" t="s">
        <v>78</v>
      </c>
      <c r="BE13" s="17" t="s">
        <v>78</v>
      </c>
      <c r="BF13" s="17" t="s">
        <v>78</v>
      </c>
      <c r="BG13" s="17">
        <v>6.0999999999999997E-4</v>
      </c>
      <c r="BH13" s="17" t="s">
        <v>78</v>
      </c>
      <c r="BI13" s="17" t="s">
        <v>78</v>
      </c>
      <c r="BJ13" s="17" t="s">
        <v>78</v>
      </c>
      <c r="BK13" s="69" t="s">
        <v>78</v>
      </c>
      <c r="BL13" s="69" t="s">
        <v>78</v>
      </c>
      <c r="BM13" s="17">
        <v>1.09E-3</v>
      </c>
      <c r="BN13" s="17" t="s">
        <v>78</v>
      </c>
      <c r="BO13" s="17" t="s">
        <v>78</v>
      </c>
      <c r="BP13" s="17" t="s">
        <v>78</v>
      </c>
      <c r="BQ13" s="17" t="s">
        <v>78</v>
      </c>
      <c r="BR13" s="17" t="s">
        <v>78</v>
      </c>
      <c r="BS13" s="17" t="s">
        <v>78</v>
      </c>
      <c r="BT13" s="17" t="s">
        <v>78</v>
      </c>
      <c r="BU13" s="17" t="s">
        <v>78</v>
      </c>
      <c r="BV13" s="17" t="s">
        <v>78</v>
      </c>
      <c r="BW13" s="17" t="s">
        <v>78</v>
      </c>
      <c r="BX13" s="17">
        <v>4.0999999999999999E-4</v>
      </c>
      <c r="BY13" s="17" t="s">
        <v>78</v>
      </c>
      <c r="BZ13" s="17" t="s">
        <v>78</v>
      </c>
      <c r="CA13" s="17" t="s">
        <v>78</v>
      </c>
      <c r="CB13" s="17" t="s">
        <v>78</v>
      </c>
      <c r="CC13" s="17" t="s">
        <v>78</v>
      </c>
      <c r="CD13" s="17" t="s">
        <v>78</v>
      </c>
      <c r="CE13" s="69" t="s">
        <v>78</v>
      </c>
      <c r="CF13" s="17" t="s">
        <v>78</v>
      </c>
      <c r="CG13" s="17" t="s">
        <v>78</v>
      </c>
      <c r="CH13" s="17" t="s">
        <v>78</v>
      </c>
      <c r="CI13" s="17" t="s">
        <v>78</v>
      </c>
      <c r="CJ13" s="69" t="s">
        <v>78</v>
      </c>
      <c r="CK13" s="17">
        <v>3.0000000000000001E-5</v>
      </c>
      <c r="CL13" s="17" t="s">
        <v>78</v>
      </c>
      <c r="CM13" s="17" t="s">
        <v>78</v>
      </c>
      <c r="CN13" s="17">
        <v>1.0000000000000001E-5</v>
      </c>
      <c r="CO13" s="17" t="s">
        <v>78</v>
      </c>
      <c r="CP13" s="17" t="s">
        <v>78</v>
      </c>
      <c r="CQ13" s="17" t="s">
        <v>78</v>
      </c>
      <c r="CR13" s="17" t="s">
        <v>78</v>
      </c>
      <c r="CS13" s="69" t="s">
        <v>78</v>
      </c>
      <c r="CT13" s="69" t="s">
        <v>78</v>
      </c>
      <c r="CU13" s="338" t="s">
        <v>78</v>
      </c>
      <c r="CV13" s="69" t="s">
        <v>78</v>
      </c>
      <c r="CW13" s="356">
        <f t="shared" si="2"/>
        <v>4.7544117647058827E-2</v>
      </c>
      <c r="CX13" s="17" t="s">
        <v>78</v>
      </c>
      <c r="CY13" s="69" t="s">
        <v>78</v>
      </c>
      <c r="CZ13" s="69" t="s">
        <v>78</v>
      </c>
      <c r="DA13" s="17" t="s">
        <v>78</v>
      </c>
      <c r="DB13" s="17" t="s">
        <v>78</v>
      </c>
      <c r="DC13" s="17" t="s">
        <v>78</v>
      </c>
      <c r="DD13" s="17" t="s">
        <v>78</v>
      </c>
      <c r="DE13" s="17">
        <v>2.3500000000000001E-3</v>
      </c>
      <c r="DF13" s="17" t="s">
        <v>78</v>
      </c>
      <c r="DG13" s="17" t="s">
        <v>78</v>
      </c>
      <c r="DH13" s="69" t="s">
        <v>78</v>
      </c>
      <c r="DI13" s="69" t="s">
        <v>78</v>
      </c>
      <c r="DJ13" s="17" t="s">
        <v>78</v>
      </c>
      <c r="DK13" s="17" t="s">
        <v>78</v>
      </c>
      <c r="DL13" s="17" t="s">
        <v>78</v>
      </c>
      <c r="DM13" s="17" t="s">
        <v>78</v>
      </c>
      <c r="DN13" s="17">
        <v>1.75E-3</v>
      </c>
      <c r="DO13" s="17" t="s">
        <v>78</v>
      </c>
      <c r="DP13" s="17" t="s">
        <v>78</v>
      </c>
      <c r="DQ13" s="14"/>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row>
    <row r="14" spans="2:158" ht="16.5" x14ac:dyDescent="0.35">
      <c r="B14" s="61"/>
      <c r="C14" s="34"/>
      <c r="D14" s="41">
        <v>10301002</v>
      </c>
      <c r="E14" s="355" t="s">
        <v>87</v>
      </c>
      <c r="F14" s="54" t="s">
        <v>384</v>
      </c>
      <c r="G14" s="314" t="s">
        <v>145</v>
      </c>
      <c r="H14" s="548" t="s">
        <v>455</v>
      </c>
      <c r="I14" s="151" t="s">
        <v>78</v>
      </c>
      <c r="J14" s="69" t="s">
        <v>78</v>
      </c>
      <c r="K14" s="95">
        <f t="shared" si="1"/>
        <v>1.7941176470588237E-5</v>
      </c>
      <c r="L14" s="115">
        <f t="shared" si="1"/>
        <v>3.9470588235294122E-4</v>
      </c>
      <c r="M14" s="95">
        <f t="shared" si="1"/>
        <v>1.0764705882352939E-6</v>
      </c>
      <c r="N14" s="95">
        <f t="shared" si="1"/>
        <v>9.8676470588235306E-5</v>
      </c>
      <c r="O14" s="138" t="s">
        <v>78</v>
      </c>
      <c r="P14" s="115">
        <f t="shared" si="1"/>
        <v>1.2558823529411765E-4</v>
      </c>
      <c r="Q14" s="380">
        <f t="shared" si="1"/>
        <v>7.535294117647058E-6</v>
      </c>
      <c r="R14" s="95">
        <f t="shared" si="1"/>
        <v>7.6249999999999983E-5</v>
      </c>
      <c r="S14" s="95">
        <f t="shared" si="1"/>
        <v>4.4852941176470584E-5</v>
      </c>
      <c r="T14" s="95">
        <f t="shared" si="1"/>
        <v>3.4088235294117648E-5</v>
      </c>
      <c r="U14" s="95">
        <f t="shared" si="1"/>
        <v>2.3323529411764702E-5</v>
      </c>
      <c r="V14" s="135">
        <f t="shared" si="1"/>
        <v>9.8676470588235306E-5</v>
      </c>
      <c r="W14" s="183">
        <f t="shared" si="1"/>
        <v>1.8838235294117646E-4</v>
      </c>
      <c r="X14" s="69" t="s">
        <v>78</v>
      </c>
      <c r="Y14" s="95">
        <f t="shared" si="1"/>
        <v>2.1529411764705878E-6</v>
      </c>
      <c r="Z14" s="17" t="s">
        <v>78</v>
      </c>
      <c r="AA14" s="17" t="s">
        <v>78</v>
      </c>
      <c r="AB14" s="183">
        <f t="shared" si="3"/>
        <v>2.0632352941176468E-4</v>
      </c>
      <c r="AC14" s="242">
        <f t="shared" si="3"/>
        <v>2.6014705882352941E-3</v>
      </c>
      <c r="AD14" s="69" t="s">
        <v>78</v>
      </c>
      <c r="AE14" s="69" t="s">
        <v>78</v>
      </c>
      <c r="AF14" s="17">
        <v>3.8000000000000002E-4</v>
      </c>
      <c r="AG14" s="69" t="s">
        <v>78</v>
      </c>
      <c r="AH14" s="17">
        <v>2.4000000000000001E-4</v>
      </c>
      <c r="AI14" s="17" t="s">
        <v>78</v>
      </c>
      <c r="AJ14" s="60">
        <v>0.3</v>
      </c>
      <c r="AK14" s="69" t="s">
        <v>78</v>
      </c>
      <c r="AL14" s="17" t="s">
        <v>78</v>
      </c>
      <c r="AM14" s="17">
        <v>7.1000000000000002E-4</v>
      </c>
      <c r="AN14" s="17" t="s">
        <v>78</v>
      </c>
      <c r="AO14" s="17" t="s">
        <v>78</v>
      </c>
      <c r="AP14" s="69" t="s">
        <v>78</v>
      </c>
      <c r="AQ14" s="69" t="s">
        <v>78</v>
      </c>
      <c r="AR14" s="17" t="s">
        <v>78</v>
      </c>
      <c r="AS14" s="17" t="s">
        <v>78</v>
      </c>
      <c r="AT14" s="17" t="s">
        <v>78</v>
      </c>
      <c r="AU14" s="17" t="s">
        <v>78</v>
      </c>
      <c r="AV14" s="17" t="s">
        <v>78</v>
      </c>
      <c r="AW14" s="17" t="s">
        <v>78</v>
      </c>
      <c r="AX14" s="17" t="s">
        <v>78</v>
      </c>
      <c r="AY14" s="17" t="s">
        <v>78</v>
      </c>
      <c r="AZ14" s="69" t="s">
        <v>78</v>
      </c>
      <c r="BA14" s="17" t="s">
        <v>78</v>
      </c>
      <c r="BB14" s="17" t="s">
        <v>78</v>
      </c>
      <c r="BC14" s="69" t="s">
        <v>78</v>
      </c>
      <c r="BD14" s="69" t="s">
        <v>78</v>
      </c>
      <c r="BE14" s="17" t="s">
        <v>78</v>
      </c>
      <c r="BF14" s="17" t="s">
        <v>78</v>
      </c>
      <c r="BG14" s="17">
        <v>8.4000000000000003E-4</v>
      </c>
      <c r="BH14" s="17" t="s">
        <v>78</v>
      </c>
      <c r="BI14" s="17" t="s">
        <v>78</v>
      </c>
      <c r="BJ14" s="17" t="s">
        <v>78</v>
      </c>
      <c r="BK14" s="69" t="s">
        <v>78</v>
      </c>
      <c r="BL14" s="69" t="s">
        <v>78</v>
      </c>
      <c r="BM14" s="17">
        <v>1.5100000000000001E-3</v>
      </c>
      <c r="BN14" s="17" t="s">
        <v>78</v>
      </c>
      <c r="BO14" s="17" t="s">
        <v>78</v>
      </c>
      <c r="BP14" s="17" t="s">
        <v>78</v>
      </c>
      <c r="BQ14" s="17" t="s">
        <v>78</v>
      </c>
      <c r="BR14" s="17" t="s">
        <v>78</v>
      </c>
      <c r="BS14" s="17" t="s">
        <v>78</v>
      </c>
      <c r="BT14" s="17" t="s">
        <v>78</v>
      </c>
      <c r="BU14" s="17" t="s">
        <v>78</v>
      </c>
      <c r="BV14" s="17" t="s">
        <v>78</v>
      </c>
      <c r="BW14" s="17" t="s">
        <v>78</v>
      </c>
      <c r="BX14" s="17">
        <v>5.5999999999999995E-4</v>
      </c>
      <c r="BY14" s="17" t="s">
        <v>78</v>
      </c>
      <c r="BZ14" s="17" t="s">
        <v>78</v>
      </c>
      <c r="CA14" s="17" t="s">
        <v>78</v>
      </c>
      <c r="CB14" s="17" t="s">
        <v>78</v>
      </c>
      <c r="CC14" s="17" t="s">
        <v>78</v>
      </c>
      <c r="CD14" s="17" t="s">
        <v>78</v>
      </c>
      <c r="CE14" s="69" t="s">
        <v>78</v>
      </c>
      <c r="CF14" s="17" t="s">
        <v>78</v>
      </c>
      <c r="CG14" s="17" t="s">
        <v>78</v>
      </c>
      <c r="CH14" s="17" t="s">
        <v>78</v>
      </c>
      <c r="CI14" s="17" t="s">
        <v>78</v>
      </c>
      <c r="CJ14" s="69" t="s">
        <v>78</v>
      </c>
      <c r="CK14" s="17">
        <v>3.0000000000000001E-5</v>
      </c>
      <c r="CL14" s="17" t="s">
        <v>78</v>
      </c>
      <c r="CM14" s="17" t="s">
        <v>78</v>
      </c>
      <c r="CN14" s="17">
        <v>1.0000000000000001E-5</v>
      </c>
      <c r="CO14" s="17" t="s">
        <v>78</v>
      </c>
      <c r="CP14" s="17" t="s">
        <v>78</v>
      </c>
      <c r="CQ14" s="17" t="s">
        <v>78</v>
      </c>
      <c r="CR14" s="17" t="s">
        <v>78</v>
      </c>
      <c r="CS14" s="69" t="s">
        <v>78</v>
      </c>
      <c r="CT14" s="69" t="s">
        <v>78</v>
      </c>
      <c r="CU14" s="338" t="s">
        <v>78</v>
      </c>
      <c r="CV14" s="69" t="s">
        <v>78</v>
      </c>
      <c r="CW14" s="356">
        <f t="shared" si="2"/>
        <v>6.5574999999999994E-2</v>
      </c>
      <c r="CX14" s="17" t="s">
        <v>78</v>
      </c>
      <c r="CY14" s="69" t="s">
        <v>78</v>
      </c>
      <c r="CZ14" s="69" t="s">
        <v>78</v>
      </c>
      <c r="DA14" s="17" t="s">
        <v>78</v>
      </c>
      <c r="DB14" s="17" t="s">
        <v>78</v>
      </c>
      <c r="DC14" s="17" t="s">
        <v>78</v>
      </c>
      <c r="DD14" s="17" t="s">
        <v>78</v>
      </c>
      <c r="DE14" s="17">
        <v>3.2499999999999999E-3</v>
      </c>
      <c r="DF14" s="17" t="s">
        <v>78</v>
      </c>
      <c r="DG14" s="17" t="s">
        <v>78</v>
      </c>
      <c r="DH14" s="69" t="s">
        <v>78</v>
      </c>
      <c r="DI14" s="69" t="s">
        <v>78</v>
      </c>
      <c r="DJ14" s="17" t="s">
        <v>78</v>
      </c>
      <c r="DK14" s="17" t="s">
        <v>78</v>
      </c>
      <c r="DL14" s="17" t="s">
        <v>78</v>
      </c>
      <c r="DM14" s="17" t="s">
        <v>78</v>
      </c>
      <c r="DN14" s="17">
        <v>2.4099999999999998E-3</v>
      </c>
      <c r="DO14" s="17" t="s">
        <v>78</v>
      </c>
      <c r="DP14" s="17" t="s">
        <v>78</v>
      </c>
      <c r="DQ14" s="14"/>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row>
    <row r="15" spans="2:158" ht="15" thickBot="1" x14ac:dyDescent="0.4">
      <c r="B15" s="62"/>
      <c r="C15" s="279"/>
      <c r="D15" s="11"/>
      <c r="E15" s="277"/>
      <c r="F15" s="80"/>
      <c r="G15" s="56"/>
      <c r="H15" s="529"/>
      <c r="I15" s="194"/>
      <c r="J15" s="81"/>
      <c r="K15" s="235"/>
      <c r="L15" s="99"/>
      <c r="M15" s="53"/>
      <c r="N15" s="53"/>
      <c r="O15" s="53"/>
      <c r="P15" s="99"/>
      <c r="Q15" s="175"/>
      <c r="R15" s="53"/>
      <c r="S15" s="53"/>
      <c r="T15" s="53"/>
      <c r="U15" s="53"/>
      <c r="V15" s="99"/>
      <c r="W15" s="53"/>
      <c r="X15" s="99"/>
      <c r="Y15" s="53"/>
      <c r="Z15" s="53"/>
      <c r="AA15" s="53"/>
      <c r="AB15" s="53"/>
      <c r="AC15" s="77"/>
      <c r="AD15" s="99"/>
      <c r="AE15" s="99"/>
      <c r="AF15" s="53"/>
      <c r="AG15" s="99"/>
      <c r="AH15" s="53"/>
      <c r="AI15" s="53"/>
      <c r="AJ15" s="53"/>
      <c r="AK15" s="99"/>
      <c r="AL15" s="53"/>
      <c r="AM15" s="53"/>
      <c r="AN15" s="53"/>
      <c r="AO15" s="53"/>
      <c r="AP15" s="99"/>
      <c r="AQ15" s="99"/>
      <c r="AR15" s="53"/>
      <c r="AS15" s="53"/>
      <c r="AT15" s="53"/>
      <c r="AU15" s="53"/>
      <c r="AV15" s="53"/>
      <c r="AW15" s="53"/>
      <c r="AX15" s="53"/>
      <c r="AY15" s="53"/>
      <c r="AZ15" s="99"/>
      <c r="BA15" s="53"/>
      <c r="BB15" s="53"/>
      <c r="BC15" s="99"/>
      <c r="BD15" s="99"/>
      <c r="BE15" s="53"/>
      <c r="BF15" s="53"/>
      <c r="BG15" s="53"/>
      <c r="BH15" s="53"/>
      <c r="BI15" s="53"/>
      <c r="BJ15" s="53"/>
      <c r="BK15" s="99"/>
      <c r="BL15" s="99"/>
      <c r="BM15" s="53"/>
      <c r="BN15" s="53"/>
      <c r="BO15" s="53"/>
      <c r="BP15" s="53"/>
      <c r="BQ15" s="53"/>
      <c r="BR15" s="53"/>
      <c r="BS15" s="53"/>
      <c r="BT15" s="53"/>
      <c r="BU15" s="53"/>
      <c r="BV15" s="53"/>
      <c r="BW15" s="53"/>
      <c r="BX15" s="53"/>
      <c r="BY15" s="53"/>
      <c r="BZ15" s="53"/>
      <c r="CA15" s="53"/>
      <c r="CB15" s="53"/>
      <c r="CC15" s="53"/>
      <c r="CD15" s="53"/>
      <c r="CE15" s="99"/>
      <c r="CF15" s="53"/>
      <c r="CG15" s="53"/>
      <c r="CH15" s="53"/>
      <c r="CI15" s="53"/>
      <c r="CJ15" s="99"/>
      <c r="CK15" s="53"/>
      <c r="CL15" s="53"/>
      <c r="CM15" s="53"/>
      <c r="CN15" s="53"/>
      <c r="CO15" s="53"/>
      <c r="CP15" s="53"/>
      <c r="CQ15" s="53"/>
      <c r="CR15" s="53"/>
      <c r="CS15" s="99"/>
      <c r="CT15" s="99"/>
      <c r="CU15" s="53"/>
      <c r="CV15" s="99"/>
      <c r="CW15" s="53"/>
      <c r="CX15" s="53"/>
      <c r="CY15" s="99"/>
      <c r="CZ15" s="99"/>
      <c r="DA15" s="53"/>
      <c r="DB15" s="53"/>
      <c r="DC15" s="53"/>
      <c r="DD15" s="53"/>
      <c r="DE15" s="53"/>
      <c r="DF15" s="53"/>
      <c r="DG15" s="53"/>
      <c r="DH15" s="99"/>
      <c r="DI15" s="99"/>
      <c r="DJ15" s="53"/>
      <c r="DK15" s="53"/>
      <c r="DL15" s="53"/>
      <c r="DM15" s="53"/>
      <c r="DN15" s="53"/>
      <c r="DO15" s="53"/>
      <c r="DP15" s="53"/>
      <c r="DQ15" s="14"/>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row>
    <row r="16" spans="2:158" x14ac:dyDescent="0.35">
      <c r="B16" s="117"/>
      <c r="C16" s="280" t="s">
        <v>168</v>
      </c>
      <c r="D16" s="274"/>
      <c r="E16" s="7"/>
      <c r="F16" s="83"/>
      <c r="G16" s="55"/>
      <c r="H16" s="530"/>
      <c r="I16" s="195"/>
      <c r="J16" s="84"/>
      <c r="K16" s="85"/>
      <c r="L16" s="84"/>
      <c r="M16" s="85"/>
      <c r="N16" s="85"/>
      <c r="O16" s="85"/>
      <c r="P16" s="84"/>
      <c r="Q16" s="59"/>
      <c r="R16" s="85"/>
      <c r="S16" s="85"/>
      <c r="T16" s="85"/>
      <c r="U16" s="85"/>
      <c r="V16" s="84"/>
      <c r="W16" s="85"/>
      <c r="X16" s="84"/>
      <c r="Y16" s="85"/>
      <c r="Z16" s="85"/>
      <c r="AA16" s="85"/>
      <c r="AB16" s="85"/>
      <c r="AC16" s="86"/>
      <c r="AD16" s="84"/>
      <c r="AE16" s="84"/>
      <c r="AF16" s="85"/>
      <c r="AG16" s="84"/>
      <c r="AH16" s="85"/>
      <c r="AI16" s="85"/>
      <c r="AJ16" s="85"/>
      <c r="AK16" s="84"/>
      <c r="AL16" s="85"/>
      <c r="AM16" s="85"/>
      <c r="AN16" s="85"/>
      <c r="AO16" s="85"/>
      <c r="AP16" s="84"/>
      <c r="AQ16" s="84"/>
      <c r="AR16" s="85"/>
      <c r="AS16" s="85"/>
      <c r="AT16" s="85"/>
      <c r="AU16" s="85"/>
      <c r="AV16" s="85"/>
      <c r="AW16" s="85"/>
      <c r="AX16" s="85"/>
      <c r="AY16" s="85"/>
      <c r="AZ16" s="84"/>
      <c r="BA16" s="85"/>
      <c r="BB16" s="85"/>
      <c r="BC16" s="84"/>
      <c r="BD16" s="84"/>
      <c r="BE16" s="85"/>
      <c r="BF16" s="85"/>
      <c r="BG16" s="85"/>
      <c r="BH16" s="85"/>
      <c r="BI16" s="85"/>
      <c r="BJ16" s="85"/>
      <c r="BK16" s="84"/>
      <c r="BL16" s="84"/>
      <c r="BM16" s="85"/>
      <c r="BN16" s="85"/>
      <c r="BO16" s="85"/>
      <c r="BP16" s="85"/>
      <c r="BQ16" s="85"/>
      <c r="BR16" s="85"/>
      <c r="BS16" s="85"/>
      <c r="BT16" s="85"/>
      <c r="BU16" s="85"/>
      <c r="BV16" s="85"/>
      <c r="BW16" s="85"/>
      <c r="BX16" s="85"/>
      <c r="BY16" s="85"/>
      <c r="BZ16" s="85"/>
      <c r="CA16" s="85"/>
      <c r="CB16" s="85"/>
      <c r="CC16" s="85"/>
      <c r="CD16" s="85"/>
      <c r="CE16" s="84"/>
      <c r="CF16" s="85"/>
      <c r="CG16" s="85"/>
      <c r="CH16" s="85"/>
      <c r="CI16" s="85"/>
      <c r="CJ16" s="84"/>
      <c r="CK16" s="85"/>
      <c r="CL16" s="85"/>
      <c r="CM16" s="85"/>
      <c r="CN16" s="85"/>
      <c r="CO16" s="85"/>
      <c r="CP16" s="85"/>
      <c r="CQ16" s="85"/>
      <c r="CR16" s="85"/>
      <c r="CS16" s="84"/>
      <c r="CT16" s="84"/>
      <c r="CU16" s="85"/>
      <c r="CV16" s="84"/>
      <c r="CW16" s="85"/>
      <c r="CX16" s="85"/>
      <c r="CY16" s="84"/>
      <c r="CZ16" s="84"/>
      <c r="DA16" s="85"/>
      <c r="DB16" s="85"/>
      <c r="DC16" s="85"/>
      <c r="DD16" s="85"/>
      <c r="DE16" s="85"/>
      <c r="DF16" s="85"/>
      <c r="DG16" s="85"/>
      <c r="DH16" s="84"/>
      <c r="DI16" s="84"/>
      <c r="DJ16" s="85"/>
      <c r="DK16" s="85"/>
      <c r="DL16" s="85"/>
      <c r="DM16" s="85"/>
      <c r="DN16" s="85"/>
      <c r="DO16" s="57"/>
      <c r="DP16" s="57"/>
      <c r="DQ16" s="14"/>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row>
    <row r="17" spans="2:158" x14ac:dyDescent="0.35">
      <c r="B17" s="116"/>
      <c r="C17" s="281"/>
      <c r="D17" s="16"/>
      <c r="E17" s="139" t="s">
        <v>203</v>
      </c>
      <c r="F17" s="210"/>
      <c r="G17" s="314"/>
      <c r="H17" s="528"/>
      <c r="I17" s="193"/>
      <c r="J17" s="97"/>
      <c r="K17" s="24"/>
      <c r="L17" s="97"/>
      <c r="M17" s="24"/>
      <c r="N17" s="24"/>
      <c r="O17" s="24"/>
      <c r="P17" s="97"/>
      <c r="R17" s="24"/>
      <c r="S17" s="24"/>
      <c r="U17" s="24"/>
      <c r="V17" s="97"/>
      <c r="W17" s="24"/>
      <c r="X17" s="97"/>
      <c r="Y17" s="24"/>
      <c r="Z17" s="24"/>
      <c r="AA17" s="24"/>
      <c r="AB17" s="24"/>
      <c r="AC17" s="113"/>
      <c r="AD17" s="97"/>
      <c r="AE17" s="97"/>
      <c r="AF17" s="24"/>
      <c r="AG17" s="97"/>
      <c r="AH17" s="24"/>
      <c r="AI17" s="24"/>
      <c r="AJ17" s="24"/>
      <c r="AK17" s="97"/>
      <c r="AL17" s="24"/>
      <c r="AM17" s="24"/>
      <c r="AN17" s="24"/>
      <c r="AO17" s="24"/>
      <c r="AP17" s="97"/>
      <c r="AQ17" s="97"/>
      <c r="AR17" s="24"/>
      <c r="AS17" s="24"/>
      <c r="AT17" s="24"/>
      <c r="AU17" s="24"/>
      <c r="AV17" s="24"/>
      <c r="AW17" s="24"/>
      <c r="AX17" s="24"/>
      <c r="AY17" s="24"/>
      <c r="AZ17" s="97"/>
      <c r="BA17" s="24"/>
      <c r="BB17" s="24"/>
      <c r="BC17" s="97"/>
      <c r="BD17" s="97"/>
      <c r="BG17" s="24"/>
      <c r="BH17" s="24"/>
      <c r="BI17" s="24"/>
      <c r="BJ17" s="24"/>
      <c r="BK17" s="97"/>
      <c r="BL17" s="97"/>
      <c r="BM17" s="24"/>
      <c r="BN17" s="24"/>
      <c r="BO17" s="24"/>
      <c r="BP17" s="24"/>
      <c r="BQ17" s="24"/>
      <c r="BR17" s="24"/>
      <c r="BS17" s="24"/>
      <c r="BT17" s="24"/>
      <c r="BU17" s="24"/>
      <c r="BV17" s="24"/>
      <c r="BW17" s="24"/>
      <c r="BX17" s="24"/>
      <c r="BY17" s="24"/>
      <c r="BZ17" s="24"/>
      <c r="CA17" s="24"/>
      <c r="CB17" s="24"/>
      <c r="CC17" s="24"/>
      <c r="CD17" s="24"/>
      <c r="CE17" s="97"/>
      <c r="CF17" s="24"/>
      <c r="CG17" s="24"/>
      <c r="CH17" s="24"/>
      <c r="CI17" s="24"/>
      <c r="CJ17" s="97"/>
      <c r="CK17" s="24"/>
      <c r="CL17" s="24"/>
      <c r="CM17" s="24"/>
      <c r="CN17" s="24"/>
      <c r="CO17" s="24"/>
      <c r="CP17" s="24"/>
      <c r="CQ17" s="24"/>
      <c r="CR17" s="24"/>
      <c r="CS17" s="97"/>
      <c r="CT17" s="97"/>
      <c r="CV17" s="97"/>
      <c r="CW17" s="24"/>
      <c r="CX17" s="24"/>
      <c r="CY17" s="97"/>
      <c r="CZ17" s="97"/>
      <c r="DA17" s="24"/>
      <c r="DB17" s="24"/>
      <c r="DC17" s="24"/>
      <c r="DD17" s="24"/>
      <c r="DE17" s="24"/>
      <c r="DF17" s="24"/>
      <c r="DG17" s="24"/>
      <c r="DH17" s="97"/>
      <c r="DI17" s="97"/>
      <c r="DL17" s="24"/>
      <c r="DM17" s="24"/>
      <c r="DN17" s="24"/>
      <c r="DO17" s="17"/>
      <c r="DP17" s="17"/>
      <c r="DQ17" s="14"/>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row>
    <row r="18" spans="2:158" ht="16.5" x14ac:dyDescent="0.35">
      <c r="B18" s="63"/>
      <c r="C18" s="281"/>
      <c r="D18" s="9" t="s">
        <v>358</v>
      </c>
      <c r="E18" s="341" t="s">
        <v>99</v>
      </c>
      <c r="F18" s="54" t="s">
        <v>417</v>
      </c>
      <c r="G18" s="314" t="s">
        <v>146</v>
      </c>
      <c r="H18" s="548" t="s">
        <v>455</v>
      </c>
      <c r="I18" s="151" t="s">
        <v>78</v>
      </c>
      <c r="J18" s="69" t="s">
        <v>78</v>
      </c>
      <c r="K18" s="17">
        <v>2.0000000000000001E-4</v>
      </c>
      <c r="L18" s="69">
        <v>4.4000000000000003E-3</v>
      </c>
      <c r="M18" s="238">
        <v>1.2E-5</v>
      </c>
      <c r="N18" s="17">
        <v>1.1000000000000001E-3</v>
      </c>
      <c r="O18" s="439">
        <f>4%*P18</f>
        <v>5.5999999999999999E-5</v>
      </c>
      <c r="P18" s="69">
        <v>1.4E-3</v>
      </c>
      <c r="Q18" s="439">
        <v>8.3999999999999995E-5</v>
      </c>
      <c r="R18" s="17">
        <v>8.4999999999999995E-4</v>
      </c>
      <c r="S18" s="17">
        <v>5.0000000000000001E-4</v>
      </c>
      <c r="T18" s="17">
        <v>3.8000000000000002E-4</v>
      </c>
      <c r="U18" s="17">
        <v>2.5999999999999998E-4</v>
      </c>
      <c r="V18" s="69">
        <v>1.1000000000000001E-3</v>
      </c>
      <c r="W18" s="17">
        <v>2.0999999999999999E-3</v>
      </c>
      <c r="X18" s="69" t="s">
        <v>78</v>
      </c>
      <c r="Y18" s="238">
        <v>2.4000000000000001E-5</v>
      </c>
      <c r="Z18" s="17" t="s">
        <v>78</v>
      </c>
      <c r="AA18" s="17" t="s">
        <v>78</v>
      </c>
      <c r="AB18" s="17">
        <v>2.3E-3</v>
      </c>
      <c r="AC18" s="77">
        <v>2.9000000000000001E-2</v>
      </c>
      <c r="AD18" s="69" t="s">
        <v>78</v>
      </c>
      <c r="AE18" s="69" t="s">
        <v>78</v>
      </c>
      <c r="AF18" s="17">
        <v>8.9999999999999998E-4</v>
      </c>
      <c r="AG18" s="69" t="s">
        <v>78</v>
      </c>
      <c r="AH18" s="17">
        <v>8.0000000000000004E-4</v>
      </c>
      <c r="AI18" s="17" t="s">
        <v>78</v>
      </c>
      <c r="AJ18" s="17" t="s">
        <v>78</v>
      </c>
      <c r="AK18" s="69" t="s">
        <v>78</v>
      </c>
      <c r="AL18" s="17" t="s">
        <v>78</v>
      </c>
      <c r="AM18" s="17">
        <v>1.6999999999999999E-3</v>
      </c>
      <c r="AN18" s="17" t="s">
        <v>78</v>
      </c>
      <c r="AO18" s="17" t="s">
        <v>78</v>
      </c>
      <c r="AP18" s="69" t="s">
        <v>78</v>
      </c>
      <c r="AQ18" s="69" t="s">
        <v>78</v>
      </c>
      <c r="AR18" s="17" t="s">
        <v>78</v>
      </c>
      <c r="AS18" s="17" t="s">
        <v>78</v>
      </c>
      <c r="AT18" s="17" t="s">
        <v>78</v>
      </c>
      <c r="AU18" s="17" t="s">
        <v>78</v>
      </c>
      <c r="AV18" s="17" t="s">
        <v>78</v>
      </c>
      <c r="AW18" s="17" t="s">
        <v>78</v>
      </c>
      <c r="AX18" s="17" t="s">
        <v>78</v>
      </c>
      <c r="AY18" s="17" t="s">
        <v>78</v>
      </c>
      <c r="AZ18" s="69" t="s">
        <v>78</v>
      </c>
      <c r="BA18" s="17" t="s">
        <v>78</v>
      </c>
      <c r="BB18" s="17" t="s">
        <v>78</v>
      </c>
      <c r="BC18" s="69" t="s">
        <v>78</v>
      </c>
      <c r="BD18" s="69" t="s">
        <v>78</v>
      </c>
      <c r="BE18" s="17" t="s">
        <v>78</v>
      </c>
      <c r="BF18" s="17" t="s">
        <v>78</v>
      </c>
      <c r="BG18" s="60">
        <v>2E-3</v>
      </c>
      <c r="BH18" s="17" t="s">
        <v>78</v>
      </c>
      <c r="BI18" s="17" t="s">
        <v>78</v>
      </c>
      <c r="BJ18" s="17" t="s">
        <v>78</v>
      </c>
      <c r="BK18" s="69" t="s">
        <v>78</v>
      </c>
      <c r="BL18" s="69" t="s">
        <v>78</v>
      </c>
      <c r="BM18" s="17">
        <v>3.5999999999999999E-3</v>
      </c>
      <c r="BN18" s="17" t="s">
        <v>78</v>
      </c>
      <c r="BO18" s="17" t="s">
        <v>78</v>
      </c>
      <c r="BP18" s="17" t="s">
        <v>78</v>
      </c>
      <c r="BQ18" s="17" t="s">
        <v>78</v>
      </c>
      <c r="BR18" s="17" t="s">
        <v>78</v>
      </c>
      <c r="BS18" s="17" t="s">
        <v>78</v>
      </c>
      <c r="BT18" s="17" t="s">
        <v>78</v>
      </c>
      <c r="BU18" s="17" t="s">
        <v>78</v>
      </c>
      <c r="BV18" s="17" t="s">
        <v>78</v>
      </c>
      <c r="BW18" s="17" t="s">
        <v>78</v>
      </c>
      <c r="BX18" s="17">
        <v>1.2999999999999999E-3</v>
      </c>
      <c r="BY18" s="17" t="s">
        <v>78</v>
      </c>
      <c r="BZ18" s="17" t="s">
        <v>78</v>
      </c>
      <c r="CA18" s="17" t="s">
        <v>78</v>
      </c>
      <c r="CB18" s="17" t="s">
        <v>78</v>
      </c>
      <c r="CC18" s="17" t="s">
        <v>78</v>
      </c>
      <c r="CD18" s="17" t="s">
        <v>78</v>
      </c>
      <c r="CE18" s="69" t="s">
        <v>78</v>
      </c>
      <c r="CF18" s="17" t="s">
        <v>78</v>
      </c>
      <c r="CG18" s="17" t="s">
        <v>78</v>
      </c>
      <c r="CH18" s="17" t="s">
        <v>78</v>
      </c>
      <c r="CI18" s="17" t="s">
        <v>78</v>
      </c>
      <c r="CJ18" s="69" t="s">
        <v>78</v>
      </c>
      <c r="CK18" s="17">
        <v>2.9999999999999997E-4</v>
      </c>
      <c r="CL18" s="17" t="s">
        <v>78</v>
      </c>
      <c r="CM18" s="17" t="s">
        <v>78</v>
      </c>
      <c r="CN18" s="17">
        <v>1E-4</v>
      </c>
      <c r="CO18" s="17" t="s">
        <v>78</v>
      </c>
      <c r="CP18" s="17" t="s">
        <v>78</v>
      </c>
      <c r="CQ18" s="17" t="s">
        <v>78</v>
      </c>
      <c r="CR18" s="17" t="s">
        <v>78</v>
      </c>
      <c r="CS18" s="69" t="s">
        <v>78</v>
      </c>
      <c r="CT18" s="69" t="s">
        <v>78</v>
      </c>
      <c r="CU18" s="338" t="s">
        <v>78</v>
      </c>
      <c r="CV18" s="69" t="s">
        <v>78</v>
      </c>
      <c r="CW18" s="17">
        <v>1.553E-2</v>
      </c>
      <c r="CX18" s="17" t="s">
        <v>78</v>
      </c>
      <c r="CY18" s="69" t="s">
        <v>78</v>
      </c>
      <c r="CZ18" s="69" t="s">
        <v>78</v>
      </c>
      <c r="DA18" s="17" t="s">
        <v>78</v>
      </c>
      <c r="DB18" s="17" t="s">
        <v>78</v>
      </c>
      <c r="DC18" s="17" t="s">
        <v>78</v>
      </c>
      <c r="DD18" s="17" t="s">
        <v>78</v>
      </c>
      <c r="DE18" s="17">
        <v>7.7999999999999996E-3</v>
      </c>
      <c r="DF18" s="17" t="s">
        <v>78</v>
      </c>
      <c r="DG18" s="17" t="s">
        <v>78</v>
      </c>
      <c r="DH18" s="69" t="s">
        <v>78</v>
      </c>
      <c r="DI18" s="69" t="s">
        <v>78</v>
      </c>
      <c r="DJ18" s="17" t="s">
        <v>78</v>
      </c>
      <c r="DK18" s="17" t="s">
        <v>78</v>
      </c>
      <c r="DL18" s="17" t="s">
        <v>78</v>
      </c>
      <c r="DM18" s="17" t="s">
        <v>78</v>
      </c>
      <c r="DN18" s="17">
        <v>5.7999999999999996E-3</v>
      </c>
      <c r="DO18" s="17" t="s">
        <v>78</v>
      </c>
      <c r="DP18" s="17" t="s">
        <v>78</v>
      </c>
      <c r="DQ18" s="14"/>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row>
    <row r="19" spans="2:158" ht="16.5" x14ac:dyDescent="0.35">
      <c r="B19" s="64"/>
      <c r="C19" s="282"/>
      <c r="D19" s="9" t="s">
        <v>358</v>
      </c>
      <c r="E19" s="341" t="s">
        <v>101</v>
      </c>
      <c r="F19" s="54" t="s">
        <v>417</v>
      </c>
      <c r="G19" s="314" t="s">
        <v>146</v>
      </c>
      <c r="H19" s="548" t="s">
        <v>455</v>
      </c>
      <c r="I19" s="151" t="s">
        <v>78</v>
      </c>
      <c r="J19" s="69" t="s">
        <v>78</v>
      </c>
      <c r="K19" s="17">
        <v>2.0000000000000001E-4</v>
      </c>
      <c r="L19" s="69">
        <v>4.4000000000000003E-3</v>
      </c>
      <c r="M19" s="238">
        <v>1.2E-5</v>
      </c>
      <c r="N19" s="17">
        <v>1.1000000000000001E-3</v>
      </c>
      <c r="O19" s="439">
        <f t="shared" ref="O19:O20" si="4">4%*P19</f>
        <v>5.5999999999999999E-5</v>
      </c>
      <c r="P19" s="69">
        <v>1.4E-3</v>
      </c>
      <c r="Q19" s="439">
        <v>8.3999999999999995E-5</v>
      </c>
      <c r="R19" s="17">
        <v>8.4999999999999995E-4</v>
      </c>
      <c r="S19" s="17">
        <v>5.0000000000000001E-4</v>
      </c>
      <c r="T19" s="17">
        <v>3.8000000000000002E-4</v>
      </c>
      <c r="U19" s="17">
        <v>2.5999999999999998E-4</v>
      </c>
      <c r="V19" s="69">
        <v>1.1000000000000001E-3</v>
      </c>
      <c r="W19" s="17">
        <v>2.0999999999999999E-3</v>
      </c>
      <c r="X19" s="69" t="s">
        <v>78</v>
      </c>
      <c r="Y19" s="238">
        <v>2.4000000000000001E-5</v>
      </c>
      <c r="Z19" s="17" t="s">
        <v>78</v>
      </c>
      <c r="AA19" s="17" t="s">
        <v>78</v>
      </c>
      <c r="AB19" s="17">
        <v>2.3E-3</v>
      </c>
      <c r="AC19" s="77">
        <v>2.9000000000000001E-2</v>
      </c>
      <c r="AD19" s="69" t="s">
        <v>78</v>
      </c>
      <c r="AE19" s="69" t="s">
        <v>78</v>
      </c>
      <c r="AF19" s="17">
        <v>3.0999999999999999E-3</v>
      </c>
      <c r="AG19" s="69" t="s">
        <v>78</v>
      </c>
      <c r="AH19" s="17">
        <v>2.7000000000000001E-3</v>
      </c>
      <c r="AI19" s="17" t="s">
        <v>78</v>
      </c>
      <c r="AJ19" s="17" t="s">
        <v>78</v>
      </c>
      <c r="AK19" s="69" t="s">
        <v>78</v>
      </c>
      <c r="AL19" s="17" t="s">
        <v>78</v>
      </c>
      <c r="AM19" s="17">
        <v>5.7999999999999996E-3</v>
      </c>
      <c r="AN19" s="17" t="s">
        <v>78</v>
      </c>
      <c r="AO19" s="17" t="s">
        <v>78</v>
      </c>
      <c r="AP19" s="69" t="s">
        <v>78</v>
      </c>
      <c r="AQ19" s="69" t="s">
        <v>78</v>
      </c>
      <c r="AR19" s="17" t="s">
        <v>78</v>
      </c>
      <c r="AS19" s="17" t="s">
        <v>78</v>
      </c>
      <c r="AT19" s="17" t="s">
        <v>78</v>
      </c>
      <c r="AU19" s="17" t="s">
        <v>78</v>
      </c>
      <c r="AV19" s="17" t="s">
        <v>78</v>
      </c>
      <c r="AW19" s="17" t="s">
        <v>78</v>
      </c>
      <c r="AX19" s="17" t="s">
        <v>78</v>
      </c>
      <c r="AY19" s="17" t="s">
        <v>78</v>
      </c>
      <c r="AZ19" s="69" t="s">
        <v>78</v>
      </c>
      <c r="BA19" s="17" t="s">
        <v>78</v>
      </c>
      <c r="BB19" s="17" t="s">
        <v>78</v>
      </c>
      <c r="BC19" s="69" t="s">
        <v>78</v>
      </c>
      <c r="BD19" s="69" t="s">
        <v>78</v>
      </c>
      <c r="BE19" s="17" t="s">
        <v>78</v>
      </c>
      <c r="BF19" s="17" t="s">
        <v>78</v>
      </c>
      <c r="BG19" s="17">
        <v>6.8999999999999999E-3</v>
      </c>
      <c r="BH19" s="17" t="s">
        <v>78</v>
      </c>
      <c r="BI19" s="17" t="s">
        <v>78</v>
      </c>
      <c r="BJ19" s="17" t="s">
        <v>78</v>
      </c>
      <c r="BK19" s="69" t="s">
        <v>78</v>
      </c>
      <c r="BL19" s="69" t="s">
        <v>78</v>
      </c>
      <c r="BM19" s="17">
        <v>1.23E-2</v>
      </c>
      <c r="BN19" s="17" t="s">
        <v>78</v>
      </c>
      <c r="BO19" s="17" t="s">
        <v>78</v>
      </c>
      <c r="BP19" s="17" t="s">
        <v>78</v>
      </c>
      <c r="BQ19" s="17" t="s">
        <v>78</v>
      </c>
      <c r="BR19" s="17" t="s">
        <v>78</v>
      </c>
      <c r="BS19" s="17" t="s">
        <v>78</v>
      </c>
      <c r="BT19" s="17" t="s">
        <v>78</v>
      </c>
      <c r="BU19" s="17" t="s">
        <v>78</v>
      </c>
      <c r="BV19" s="17" t="s">
        <v>78</v>
      </c>
      <c r="BW19" s="17" t="s">
        <v>78</v>
      </c>
      <c r="BX19" s="17">
        <v>4.5999999999999999E-3</v>
      </c>
      <c r="BY19" s="17" t="s">
        <v>78</v>
      </c>
      <c r="BZ19" s="17" t="s">
        <v>78</v>
      </c>
      <c r="CA19" s="17" t="s">
        <v>78</v>
      </c>
      <c r="CB19" s="17" t="s">
        <v>78</v>
      </c>
      <c r="CC19" s="17" t="s">
        <v>78</v>
      </c>
      <c r="CD19" s="17" t="s">
        <v>78</v>
      </c>
      <c r="CE19" s="69" t="s">
        <v>78</v>
      </c>
      <c r="CF19" s="17" t="s">
        <v>78</v>
      </c>
      <c r="CG19" s="17" t="s">
        <v>78</v>
      </c>
      <c r="CH19" s="17" t="s">
        <v>78</v>
      </c>
      <c r="CI19" s="17" t="s">
        <v>78</v>
      </c>
      <c r="CJ19" s="69" t="s">
        <v>78</v>
      </c>
      <c r="CK19" s="17">
        <v>2.9999999999999997E-4</v>
      </c>
      <c r="CL19" s="17" t="s">
        <v>78</v>
      </c>
      <c r="CM19" s="17" t="s">
        <v>78</v>
      </c>
      <c r="CN19" s="17">
        <v>1E-4</v>
      </c>
      <c r="CO19" s="17" t="s">
        <v>78</v>
      </c>
      <c r="CP19" s="17" t="s">
        <v>78</v>
      </c>
      <c r="CQ19" s="17" t="s">
        <v>78</v>
      </c>
      <c r="CR19" s="17" t="s">
        <v>78</v>
      </c>
      <c r="CS19" s="69" t="s">
        <v>78</v>
      </c>
      <c r="CT19" s="69" t="s">
        <v>78</v>
      </c>
      <c r="CU19" s="338" t="s">
        <v>78</v>
      </c>
      <c r="CV19" s="69" t="s">
        <v>78</v>
      </c>
      <c r="CW19" s="60">
        <v>0.53</v>
      </c>
      <c r="CX19" s="17" t="s">
        <v>78</v>
      </c>
      <c r="CY19" s="69" t="s">
        <v>78</v>
      </c>
      <c r="CZ19" s="69" t="s">
        <v>78</v>
      </c>
      <c r="DA19" s="17" t="s">
        <v>78</v>
      </c>
      <c r="DB19" s="17" t="s">
        <v>78</v>
      </c>
      <c r="DC19" s="17" t="s">
        <v>78</v>
      </c>
      <c r="DD19" s="17" t="s">
        <v>78</v>
      </c>
      <c r="DE19" s="17">
        <v>2.6499999999999999E-2</v>
      </c>
      <c r="DF19" s="17" t="s">
        <v>78</v>
      </c>
      <c r="DG19" s="17" t="s">
        <v>78</v>
      </c>
      <c r="DH19" s="69" t="s">
        <v>78</v>
      </c>
      <c r="DI19" s="69" t="s">
        <v>78</v>
      </c>
      <c r="DJ19" s="17" t="s">
        <v>78</v>
      </c>
      <c r="DK19" s="17" t="s">
        <v>78</v>
      </c>
      <c r="DL19" s="17" t="s">
        <v>78</v>
      </c>
      <c r="DM19" s="17" t="s">
        <v>78</v>
      </c>
      <c r="DN19" s="17">
        <v>1.9699999999999999E-2</v>
      </c>
      <c r="DO19" s="17" t="s">
        <v>78</v>
      </c>
      <c r="DP19" s="17" t="s">
        <v>78</v>
      </c>
      <c r="DQ19" s="14"/>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row>
    <row r="20" spans="2:158" ht="16.5" x14ac:dyDescent="0.35">
      <c r="B20" s="64"/>
      <c r="C20" s="282"/>
      <c r="D20" s="9" t="s">
        <v>358</v>
      </c>
      <c r="E20" s="341" t="s">
        <v>87</v>
      </c>
      <c r="F20" s="54" t="s">
        <v>417</v>
      </c>
      <c r="G20" s="314" t="s">
        <v>146</v>
      </c>
      <c r="H20" s="548" t="s">
        <v>455</v>
      </c>
      <c r="I20" s="151" t="s">
        <v>78</v>
      </c>
      <c r="J20" s="69" t="s">
        <v>78</v>
      </c>
      <c r="K20" s="17">
        <v>2.0000000000000001E-4</v>
      </c>
      <c r="L20" s="69">
        <v>4.4000000000000003E-3</v>
      </c>
      <c r="M20" s="238">
        <v>1.2E-5</v>
      </c>
      <c r="N20" s="17">
        <v>1.1000000000000001E-3</v>
      </c>
      <c r="O20" s="439">
        <f t="shared" si="4"/>
        <v>5.5999999999999999E-5</v>
      </c>
      <c r="P20" s="69">
        <v>1.4E-3</v>
      </c>
      <c r="Q20" s="439">
        <v>8.3999999999999995E-5</v>
      </c>
      <c r="R20" s="17">
        <v>8.4999999999999995E-4</v>
      </c>
      <c r="S20" s="17">
        <v>5.0000000000000001E-4</v>
      </c>
      <c r="T20" s="17">
        <v>3.8000000000000002E-4</v>
      </c>
      <c r="U20" s="17">
        <v>2.5999999999999998E-4</v>
      </c>
      <c r="V20" s="69">
        <v>1.1000000000000001E-3</v>
      </c>
      <c r="W20" s="17">
        <v>2.0999999999999999E-3</v>
      </c>
      <c r="X20" s="69" t="s">
        <v>78</v>
      </c>
      <c r="Y20" s="238">
        <v>2.4000000000000001E-5</v>
      </c>
      <c r="Z20" s="17" t="s">
        <v>78</v>
      </c>
      <c r="AA20" s="17" t="s">
        <v>78</v>
      </c>
      <c r="AB20" s="17">
        <v>2.3E-3</v>
      </c>
      <c r="AC20" s="77">
        <v>2.9000000000000001E-2</v>
      </c>
      <c r="AD20" s="69" t="s">
        <v>78</v>
      </c>
      <c r="AE20" s="69" t="s">
        <v>78</v>
      </c>
      <c r="AF20" s="24">
        <v>4.3E-3</v>
      </c>
      <c r="AG20" s="69" t="s">
        <v>78</v>
      </c>
      <c r="AH20" s="24">
        <v>2.7000000000000001E-3</v>
      </c>
      <c r="AI20" s="17" t="s">
        <v>78</v>
      </c>
      <c r="AJ20" s="17" t="s">
        <v>78</v>
      </c>
      <c r="AK20" s="69" t="s">
        <v>78</v>
      </c>
      <c r="AL20" s="17" t="s">
        <v>78</v>
      </c>
      <c r="AM20" s="342">
        <v>8.0000000000000002E-3</v>
      </c>
      <c r="AN20" s="17" t="s">
        <v>78</v>
      </c>
      <c r="AO20" s="17" t="s">
        <v>78</v>
      </c>
      <c r="AP20" s="69" t="s">
        <v>78</v>
      </c>
      <c r="AQ20" s="69" t="s">
        <v>78</v>
      </c>
      <c r="AR20" s="17" t="s">
        <v>78</v>
      </c>
      <c r="AS20" s="17" t="s">
        <v>78</v>
      </c>
      <c r="AT20" s="17" t="s">
        <v>78</v>
      </c>
      <c r="AU20" s="17" t="s">
        <v>78</v>
      </c>
      <c r="AV20" s="17" t="s">
        <v>78</v>
      </c>
      <c r="AW20" s="17" t="s">
        <v>78</v>
      </c>
      <c r="AX20" s="17" t="s">
        <v>78</v>
      </c>
      <c r="AY20" s="17" t="s">
        <v>78</v>
      </c>
      <c r="AZ20" s="69" t="s">
        <v>78</v>
      </c>
      <c r="BA20" s="17" t="s">
        <v>78</v>
      </c>
      <c r="BB20" s="17" t="s">
        <v>78</v>
      </c>
      <c r="BC20" s="69" t="s">
        <v>78</v>
      </c>
      <c r="BD20" s="69" t="s">
        <v>78</v>
      </c>
      <c r="BE20" s="17" t="s">
        <v>78</v>
      </c>
      <c r="BF20" s="17" t="s">
        <v>78</v>
      </c>
      <c r="BG20" s="24">
        <v>9.4999999999999998E-3</v>
      </c>
      <c r="BH20" s="17" t="s">
        <v>78</v>
      </c>
      <c r="BI20" s="17" t="s">
        <v>78</v>
      </c>
      <c r="BJ20" s="17" t="s">
        <v>78</v>
      </c>
      <c r="BK20" s="69" t="s">
        <v>78</v>
      </c>
      <c r="BL20" s="69" t="s">
        <v>78</v>
      </c>
      <c r="BM20" s="342">
        <v>1.7000000000000001E-2</v>
      </c>
      <c r="BN20" s="24" t="s">
        <v>78</v>
      </c>
      <c r="BO20" s="24" t="s">
        <v>78</v>
      </c>
      <c r="BP20" s="24" t="s">
        <v>78</v>
      </c>
      <c r="BQ20" s="24" t="s">
        <v>78</v>
      </c>
      <c r="BR20" s="24" t="s">
        <v>78</v>
      </c>
      <c r="BS20" s="24" t="s">
        <v>78</v>
      </c>
      <c r="BT20" s="24" t="s">
        <v>78</v>
      </c>
      <c r="BU20" s="24" t="s">
        <v>78</v>
      </c>
      <c r="BV20" s="24" t="s">
        <v>78</v>
      </c>
      <c r="BW20" s="24" t="s">
        <v>78</v>
      </c>
      <c r="BX20" s="24">
        <v>6.3E-3</v>
      </c>
      <c r="BY20" s="17" t="s">
        <v>78</v>
      </c>
      <c r="BZ20" s="17" t="s">
        <v>78</v>
      </c>
      <c r="CA20" s="17" t="s">
        <v>78</v>
      </c>
      <c r="CB20" s="17" t="s">
        <v>78</v>
      </c>
      <c r="CC20" s="17" t="s">
        <v>78</v>
      </c>
      <c r="CD20" s="17" t="s">
        <v>78</v>
      </c>
      <c r="CE20" s="69" t="s">
        <v>78</v>
      </c>
      <c r="CF20" s="17" t="s">
        <v>78</v>
      </c>
      <c r="CG20" s="17" t="s">
        <v>78</v>
      </c>
      <c r="CH20" s="17" t="s">
        <v>78</v>
      </c>
      <c r="CI20" s="17" t="s">
        <v>78</v>
      </c>
      <c r="CJ20" s="69" t="s">
        <v>78</v>
      </c>
      <c r="CK20" s="17">
        <v>2.9999999999999997E-4</v>
      </c>
      <c r="CL20" s="17" t="s">
        <v>78</v>
      </c>
      <c r="CM20" s="17" t="s">
        <v>78</v>
      </c>
      <c r="CN20" s="17">
        <v>1E-4</v>
      </c>
      <c r="CO20" s="17" t="s">
        <v>78</v>
      </c>
      <c r="CP20" s="17" t="s">
        <v>78</v>
      </c>
      <c r="CQ20" s="17" t="s">
        <v>78</v>
      </c>
      <c r="CR20" s="17" t="s">
        <v>78</v>
      </c>
      <c r="CS20" s="69" t="s">
        <v>78</v>
      </c>
      <c r="CT20" s="69" t="s">
        <v>78</v>
      </c>
      <c r="CU20" s="338" t="s">
        <v>78</v>
      </c>
      <c r="CV20" s="69" t="s">
        <v>78</v>
      </c>
      <c r="CW20" s="60">
        <v>0.73099999999999998</v>
      </c>
      <c r="CX20" s="17" t="s">
        <v>78</v>
      </c>
      <c r="CY20" s="69" t="s">
        <v>78</v>
      </c>
      <c r="CZ20" s="69" t="s">
        <v>78</v>
      </c>
      <c r="DA20" s="17" t="s">
        <v>78</v>
      </c>
      <c r="DB20" s="17" t="s">
        <v>78</v>
      </c>
      <c r="DC20" s="17" t="s">
        <v>78</v>
      </c>
      <c r="DD20" s="17" t="s">
        <v>78</v>
      </c>
      <c r="DE20" s="17">
        <v>3.6600000000000001E-2</v>
      </c>
      <c r="DF20" s="17" t="s">
        <v>78</v>
      </c>
      <c r="DG20" s="17" t="s">
        <v>78</v>
      </c>
      <c r="DH20" s="69" t="s">
        <v>78</v>
      </c>
      <c r="DI20" s="69" t="s">
        <v>78</v>
      </c>
      <c r="DJ20" s="17" t="s">
        <v>78</v>
      </c>
      <c r="DK20" s="17" t="s">
        <v>78</v>
      </c>
      <c r="DL20" s="17" t="s">
        <v>78</v>
      </c>
      <c r="DM20" s="17" t="s">
        <v>78</v>
      </c>
      <c r="DN20" s="17">
        <v>2.7199999999999998E-2</v>
      </c>
      <c r="DO20" s="17" t="s">
        <v>78</v>
      </c>
      <c r="DP20" s="17" t="s">
        <v>78</v>
      </c>
      <c r="DQ20" s="14"/>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row>
    <row r="21" spans="2:158" ht="15" customHeight="1" x14ac:dyDescent="0.35">
      <c r="B21" s="64"/>
      <c r="C21" s="282"/>
      <c r="D21" s="9"/>
      <c r="E21" s="275" t="s">
        <v>204</v>
      </c>
      <c r="F21" s="54"/>
      <c r="G21" s="314"/>
      <c r="H21" s="528"/>
      <c r="I21" s="151"/>
      <c r="J21" s="69"/>
      <c r="K21" s="17"/>
      <c r="L21" s="69"/>
      <c r="M21" s="238"/>
      <c r="N21" s="17"/>
      <c r="O21" s="138"/>
      <c r="P21" s="69"/>
      <c r="Q21" s="439"/>
      <c r="R21" s="17"/>
      <c r="S21" s="17"/>
      <c r="T21" s="17"/>
      <c r="U21" s="17"/>
      <c r="V21" s="69"/>
      <c r="W21" s="17"/>
      <c r="X21" s="69"/>
      <c r="Y21" s="238"/>
      <c r="Z21" s="17"/>
      <c r="AA21" s="17"/>
      <c r="AB21" s="17"/>
      <c r="AC21" s="77"/>
      <c r="AD21" s="69"/>
      <c r="AE21" s="69"/>
      <c r="AF21" s="24"/>
      <c r="AG21" s="69"/>
      <c r="AH21" s="24"/>
      <c r="AI21" s="17"/>
      <c r="AJ21" s="17"/>
      <c r="AK21" s="69"/>
      <c r="AL21" s="17"/>
      <c r="AM21" s="342"/>
      <c r="AN21" s="17"/>
      <c r="AO21" s="17"/>
      <c r="AP21" s="69"/>
      <c r="AQ21" s="69"/>
      <c r="AR21" s="17"/>
      <c r="AS21" s="17"/>
      <c r="AT21" s="17"/>
      <c r="AU21" s="17"/>
      <c r="AV21" s="17"/>
      <c r="AW21" s="17"/>
      <c r="AX21" s="17"/>
      <c r="AY21" s="17"/>
      <c r="AZ21" s="69"/>
      <c r="BA21" s="17"/>
      <c r="BB21" s="17"/>
      <c r="BC21" s="69"/>
      <c r="BD21" s="69"/>
      <c r="BE21" s="17"/>
      <c r="BF21" s="17"/>
      <c r="BG21" s="24"/>
      <c r="BH21" s="17"/>
      <c r="BI21" s="17"/>
      <c r="BJ21" s="17"/>
      <c r="BK21" s="69"/>
      <c r="BL21" s="69"/>
      <c r="BM21" s="342"/>
      <c r="BN21" s="24"/>
      <c r="BO21" s="24"/>
      <c r="BP21" s="24"/>
      <c r="BQ21" s="24"/>
      <c r="BR21" s="24"/>
      <c r="BS21" s="24"/>
      <c r="BT21" s="24"/>
      <c r="BU21" s="24"/>
      <c r="BV21" s="24"/>
      <c r="BW21" s="24"/>
      <c r="BX21" s="24"/>
      <c r="BY21" s="17"/>
      <c r="BZ21" s="17"/>
      <c r="CA21" s="17"/>
      <c r="CB21" s="17"/>
      <c r="CC21" s="17"/>
      <c r="CD21" s="17"/>
      <c r="CE21" s="69"/>
      <c r="CF21" s="17"/>
      <c r="CG21" s="17"/>
      <c r="CH21" s="17"/>
      <c r="CI21" s="17"/>
      <c r="CJ21" s="69"/>
      <c r="CK21" s="17"/>
      <c r="CL21" s="17"/>
      <c r="CM21" s="17"/>
      <c r="CN21" s="17"/>
      <c r="CO21" s="17"/>
      <c r="CP21" s="17"/>
      <c r="CQ21" s="17"/>
      <c r="CR21" s="17"/>
      <c r="CS21" s="69"/>
      <c r="CT21" s="69"/>
      <c r="CU21" s="17"/>
      <c r="CV21" s="69"/>
      <c r="CW21" s="60"/>
      <c r="CX21" s="17"/>
      <c r="CY21" s="69"/>
      <c r="CZ21" s="69"/>
      <c r="DA21" s="17"/>
      <c r="DB21" s="17"/>
      <c r="DC21" s="17"/>
      <c r="DD21" s="17"/>
      <c r="DE21" s="17"/>
      <c r="DF21" s="17"/>
      <c r="DG21" s="17"/>
      <c r="DH21" s="69"/>
      <c r="DI21" s="69"/>
      <c r="DJ21" s="17"/>
      <c r="DK21" s="17"/>
      <c r="DL21" s="17"/>
      <c r="DM21" s="17"/>
      <c r="DN21" s="17"/>
      <c r="DO21" s="17"/>
      <c r="DP21" s="17"/>
      <c r="DQ21" s="14"/>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row>
    <row r="22" spans="2:158" ht="15" customHeight="1" x14ac:dyDescent="0.35">
      <c r="B22" s="64"/>
      <c r="C22" s="282"/>
      <c r="D22" s="9">
        <v>10300601</v>
      </c>
      <c r="E22" s="341" t="s">
        <v>99</v>
      </c>
      <c r="F22" s="54" t="s">
        <v>417</v>
      </c>
      <c r="G22" s="314" t="s">
        <v>146</v>
      </c>
      <c r="H22" s="548" t="s">
        <v>455</v>
      </c>
      <c r="I22" s="151" t="s">
        <v>78</v>
      </c>
      <c r="J22" s="69" t="s">
        <v>78</v>
      </c>
      <c r="K22" s="17">
        <v>2.0000000000000001E-4</v>
      </c>
      <c r="L22" s="69">
        <v>4.4000000000000003E-3</v>
      </c>
      <c r="M22" s="238">
        <v>1.2E-5</v>
      </c>
      <c r="N22" s="17">
        <v>1.1000000000000001E-3</v>
      </c>
      <c r="O22" s="439">
        <f>4%*P22</f>
        <v>5.5999999999999999E-5</v>
      </c>
      <c r="P22" s="69">
        <v>1.4E-3</v>
      </c>
      <c r="Q22" s="439">
        <v>8.3999999999999995E-5</v>
      </c>
      <c r="R22" s="17">
        <v>8.4999999999999995E-4</v>
      </c>
      <c r="S22" s="17">
        <v>5.0000000000000001E-4</v>
      </c>
      <c r="T22" s="17">
        <v>3.8000000000000002E-4</v>
      </c>
      <c r="U22" s="17">
        <v>2.5999999999999998E-4</v>
      </c>
      <c r="V22" s="69">
        <v>1.1000000000000001E-3</v>
      </c>
      <c r="W22" s="17">
        <v>2.0999999999999999E-3</v>
      </c>
      <c r="X22" s="69" t="s">
        <v>78</v>
      </c>
      <c r="Y22" s="238">
        <v>2.4000000000000001E-5</v>
      </c>
      <c r="Z22" s="17" t="s">
        <v>78</v>
      </c>
      <c r="AA22" s="17" t="s">
        <v>78</v>
      </c>
      <c r="AB22" s="17">
        <v>2.3E-3</v>
      </c>
      <c r="AC22" s="77">
        <v>2.9000000000000001E-2</v>
      </c>
      <c r="AD22" s="69" t="s">
        <v>78</v>
      </c>
      <c r="AE22" s="69" t="s">
        <v>78</v>
      </c>
      <c r="AF22" s="17">
        <v>8.9999999999999998E-4</v>
      </c>
      <c r="AG22" s="69" t="s">
        <v>78</v>
      </c>
      <c r="AH22" s="17">
        <v>8.0000000000000004E-4</v>
      </c>
      <c r="AI22" s="17" t="s">
        <v>78</v>
      </c>
      <c r="AJ22" s="17" t="s">
        <v>78</v>
      </c>
      <c r="AK22" s="69" t="s">
        <v>78</v>
      </c>
      <c r="AL22" s="17" t="s">
        <v>78</v>
      </c>
      <c r="AM22" s="17">
        <v>1.6999999999999999E-3</v>
      </c>
      <c r="AN22" s="17" t="s">
        <v>78</v>
      </c>
      <c r="AO22" s="17" t="s">
        <v>78</v>
      </c>
      <c r="AP22" s="69" t="s">
        <v>78</v>
      </c>
      <c r="AQ22" s="69" t="s">
        <v>78</v>
      </c>
      <c r="AR22" s="17" t="s">
        <v>78</v>
      </c>
      <c r="AS22" s="17" t="s">
        <v>78</v>
      </c>
      <c r="AT22" s="17" t="s">
        <v>78</v>
      </c>
      <c r="AU22" s="17" t="s">
        <v>78</v>
      </c>
      <c r="AV22" s="17" t="s">
        <v>78</v>
      </c>
      <c r="AW22" s="17" t="s">
        <v>78</v>
      </c>
      <c r="AX22" s="17" t="s">
        <v>78</v>
      </c>
      <c r="AY22" s="17" t="s">
        <v>78</v>
      </c>
      <c r="AZ22" s="69" t="s">
        <v>78</v>
      </c>
      <c r="BA22" s="17" t="s">
        <v>78</v>
      </c>
      <c r="BB22" s="17" t="s">
        <v>78</v>
      </c>
      <c r="BC22" s="69" t="s">
        <v>78</v>
      </c>
      <c r="BD22" s="69" t="s">
        <v>78</v>
      </c>
      <c r="BE22" s="17" t="s">
        <v>78</v>
      </c>
      <c r="BF22" s="17" t="s">
        <v>78</v>
      </c>
      <c r="BG22" s="60">
        <v>2E-3</v>
      </c>
      <c r="BH22" s="17" t="s">
        <v>78</v>
      </c>
      <c r="BI22" s="17" t="s">
        <v>78</v>
      </c>
      <c r="BJ22" s="17" t="s">
        <v>78</v>
      </c>
      <c r="BK22" s="69" t="s">
        <v>78</v>
      </c>
      <c r="BL22" s="69" t="s">
        <v>78</v>
      </c>
      <c r="BM22" s="17">
        <v>3.5999999999999999E-3</v>
      </c>
      <c r="BN22" s="17" t="s">
        <v>78</v>
      </c>
      <c r="BO22" s="17" t="s">
        <v>78</v>
      </c>
      <c r="BP22" s="17" t="s">
        <v>78</v>
      </c>
      <c r="BQ22" s="17" t="s">
        <v>78</v>
      </c>
      <c r="BR22" s="17" t="s">
        <v>78</v>
      </c>
      <c r="BS22" s="17" t="s">
        <v>78</v>
      </c>
      <c r="BT22" s="17" t="s">
        <v>78</v>
      </c>
      <c r="BU22" s="17" t="s">
        <v>78</v>
      </c>
      <c r="BV22" s="17" t="s">
        <v>78</v>
      </c>
      <c r="BW22" s="17" t="s">
        <v>78</v>
      </c>
      <c r="BX22" s="17">
        <v>1.2999999999999999E-3</v>
      </c>
      <c r="BY22" s="17" t="s">
        <v>78</v>
      </c>
      <c r="BZ22" s="17" t="s">
        <v>78</v>
      </c>
      <c r="CA22" s="17" t="s">
        <v>78</v>
      </c>
      <c r="CB22" s="17" t="s">
        <v>78</v>
      </c>
      <c r="CC22" s="17" t="s">
        <v>78</v>
      </c>
      <c r="CD22" s="17" t="s">
        <v>78</v>
      </c>
      <c r="CE22" s="69" t="s">
        <v>78</v>
      </c>
      <c r="CF22" s="17" t="s">
        <v>78</v>
      </c>
      <c r="CG22" s="17" t="s">
        <v>78</v>
      </c>
      <c r="CH22" s="17" t="s">
        <v>78</v>
      </c>
      <c r="CI22" s="17" t="s">
        <v>78</v>
      </c>
      <c r="CJ22" s="69" t="s">
        <v>78</v>
      </c>
      <c r="CK22" s="17">
        <v>2.9999999999999997E-4</v>
      </c>
      <c r="CL22" s="17" t="s">
        <v>78</v>
      </c>
      <c r="CM22" s="17" t="s">
        <v>78</v>
      </c>
      <c r="CN22" s="17">
        <v>1E-4</v>
      </c>
      <c r="CO22" s="17" t="s">
        <v>78</v>
      </c>
      <c r="CP22" s="17" t="s">
        <v>78</v>
      </c>
      <c r="CQ22" s="17" t="s">
        <v>78</v>
      </c>
      <c r="CR22" s="17" t="s">
        <v>78</v>
      </c>
      <c r="CS22" s="69" t="s">
        <v>78</v>
      </c>
      <c r="CT22" s="69" t="s">
        <v>78</v>
      </c>
      <c r="CU22" s="338" t="s">
        <v>78</v>
      </c>
      <c r="CV22" s="69" t="s">
        <v>78</v>
      </c>
      <c r="CW22" s="17">
        <v>1.553E-2</v>
      </c>
      <c r="CX22" s="17" t="s">
        <v>78</v>
      </c>
      <c r="CY22" s="69" t="s">
        <v>78</v>
      </c>
      <c r="CZ22" s="69" t="s">
        <v>78</v>
      </c>
      <c r="DA22" s="17" t="s">
        <v>78</v>
      </c>
      <c r="DB22" s="17" t="s">
        <v>78</v>
      </c>
      <c r="DC22" s="17" t="s">
        <v>78</v>
      </c>
      <c r="DD22" s="17" t="s">
        <v>78</v>
      </c>
      <c r="DE22" s="17">
        <v>7.7999999999999996E-3</v>
      </c>
      <c r="DF22" s="17" t="s">
        <v>78</v>
      </c>
      <c r="DG22" s="17" t="s">
        <v>78</v>
      </c>
      <c r="DH22" s="69" t="s">
        <v>78</v>
      </c>
      <c r="DI22" s="69" t="s">
        <v>78</v>
      </c>
      <c r="DJ22" s="17" t="s">
        <v>78</v>
      </c>
      <c r="DK22" s="17" t="s">
        <v>78</v>
      </c>
      <c r="DL22" s="17" t="s">
        <v>78</v>
      </c>
      <c r="DM22" s="17" t="s">
        <v>78</v>
      </c>
      <c r="DN22" s="17">
        <v>5.7999999999999996E-3</v>
      </c>
      <c r="DO22" s="17" t="s">
        <v>78</v>
      </c>
      <c r="DP22" s="17" t="s">
        <v>78</v>
      </c>
      <c r="DQ22" s="14"/>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row>
    <row r="23" spans="2:158" ht="15.75" customHeight="1" x14ac:dyDescent="0.35">
      <c r="B23" s="64"/>
      <c r="C23" s="282"/>
      <c r="D23" s="9">
        <v>10300602</v>
      </c>
      <c r="E23" s="341" t="s">
        <v>101</v>
      </c>
      <c r="F23" s="54" t="s">
        <v>417</v>
      </c>
      <c r="G23" s="314" t="s">
        <v>146</v>
      </c>
      <c r="H23" s="548" t="s">
        <v>455</v>
      </c>
      <c r="I23" s="151" t="s">
        <v>78</v>
      </c>
      <c r="J23" s="69" t="s">
        <v>78</v>
      </c>
      <c r="K23" s="17">
        <v>2.0000000000000001E-4</v>
      </c>
      <c r="L23" s="69">
        <v>4.4000000000000003E-3</v>
      </c>
      <c r="M23" s="238">
        <v>1.2E-5</v>
      </c>
      <c r="N23" s="17">
        <v>1.1000000000000001E-3</v>
      </c>
      <c r="O23" s="439">
        <f t="shared" ref="O23:O24" si="5">4%*P23</f>
        <v>5.5999999999999999E-5</v>
      </c>
      <c r="P23" s="69">
        <v>1.4E-3</v>
      </c>
      <c r="Q23" s="439">
        <v>8.3999999999999995E-5</v>
      </c>
      <c r="R23" s="17">
        <v>8.4999999999999995E-4</v>
      </c>
      <c r="S23" s="17">
        <v>5.0000000000000001E-4</v>
      </c>
      <c r="T23" s="17">
        <v>3.8000000000000002E-4</v>
      </c>
      <c r="U23" s="17">
        <v>2.5999999999999998E-4</v>
      </c>
      <c r="V23" s="69">
        <v>1.1000000000000001E-3</v>
      </c>
      <c r="W23" s="17">
        <v>2.0999999999999999E-3</v>
      </c>
      <c r="X23" s="69" t="s">
        <v>78</v>
      </c>
      <c r="Y23" s="238">
        <v>2.4000000000000001E-5</v>
      </c>
      <c r="Z23" s="17" t="s">
        <v>78</v>
      </c>
      <c r="AA23" s="17" t="s">
        <v>78</v>
      </c>
      <c r="AB23" s="17">
        <v>2.3E-3</v>
      </c>
      <c r="AC23" s="77">
        <v>2.9000000000000001E-2</v>
      </c>
      <c r="AD23" s="69" t="s">
        <v>78</v>
      </c>
      <c r="AE23" s="69" t="s">
        <v>78</v>
      </c>
      <c r="AF23" s="17">
        <v>3.0999999999999999E-3</v>
      </c>
      <c r="AG23" s="69" t="s">
        <v>78</v>
      </c>
      <c r="AH23" s="17">
        <v>2.7000000000000001E-3</v>
      </c>
      <c r="AI23" s="17" t="s">
        <v>78</v>
      </c>
      <c r="AJ23" s="17" t="s">
        <v>78</v>
      </c>
      <c r="AK23" s="69" t="s">
        <v>78</v>
      </c>
      <c r="AL23" s="17" t="s">
        <v>78</v>
      </c>
      <c r="AM23" s="17">
        <v>5.7999999999999996E-3</v>
      </c>
      <c r="AN23" s="17" t="s">
        <v>78</v>
      </c>
      <c r="AO23" s="17" t="s">
        <v>78</v>
      </c>
      <c r="AP23" s="69" t="s">
        <v>78</v>
      </c>
      <c r="AQ23" s="69" t="s">
        <v>78</v>
      </c>
      <c r="AR23" s="17" t="s">
        <v>78</v>
      </c>
      <c r="AS23" s="17" t="s">
        <v>78</v>
      </c>
      <c r="AT23" s="17" t="s">
        <v>78</v>
      </c>
      <c r="AU23" s="17" t="s">
        <v>78</v>
      </c>
      <c r="AV23" s="17" t="s">
        <v>78</v>
      </c>
      <c r="AW23" s="17" t="s">
        <v>78</v>
      </c>
      <c r="AX23" s="17" t="s">
        <v>78</v>
      </c>
      <c r="AY23" s="17" t="s">
        <v>78</v>
      </c>
      <c r="AZ23" s="69" t="s">
        <v>78</v>
      </c>
      <c r="BA23" s="17" t="s">
        <v>78</v>
      </c>
      <c r="BB23" s="17" t="s">
        <v>78</v>
      </c>
      <c r="BC23" s="69" t="s">
        <v>78</v>
      </c>
      <c r="BD23" s="69" t="s">
        <v>78</v>
      </c>
      <c r="BE23" s="17" t="s">
        <v>78</v>
      </c>
      <c r="BF23" s="17" t="s">
        <v>78</v>
      </c>
      <c r="BG23" s="17">
        <v>6.8999999999999999E-3</v>
      </c>
      <c r="BH23" s="17" t="s">
        <v>78</v>
      </c>
      <c r="BI23" s="17" t="s">
        <v>78</v>
      </c>
      <c r="BJ23" s="17" t="s">
        <v>78</v>
      </c>
      <c r="BK23" s="69" t="s">
        <v>78</v>
      </c>
      <c r="BL23" s="69" t="s">
        <v>78</v>
      </c>
      <c r="BM23" s="17">
        <v>1.23E-2</v>
      </c>
      <c r="BN23" s="17" t="s">
        <v>78</v>
      </c>
      <c r="BO23" s="17" t="s">
        <v>78</v>
      </c>
      <c r="BP23" s="17" t="s">
        <v>78</v>
      </c>
      <c r="BQ23" s="17" t="s">
        <v>78</v>
      </c>
      <c r="BR23" s="17" t="s">
        <v>78</v>
      </c>
      <c r="BS23" s="17" t="s">
        <v>78</v>
      </c>
      <c r="BT23" s="17" t="s">
        <v>78</v>
      </c>
      <c r="BU23" s="17" t="s">
        <v>78</v>
      </c>
      <c r="BV23" s="17" t="s">
        <v>78</v>
      </c>
      <c r="BW23" s="17" t="s">
        <v>78</v>
      </c>
      <c r="BX23" s="17">
        <v>4.5999999999999999E-3</v>
      </c>
      <c r="BY23" s="17" t="s">
        <v>78</v>
      </c>
      <c r="BZ23" s="17" t="s">
        <v>78</v>
      </c>
      <c r="CA23" s="17" t="s">
        <v>78</v>
      </c>
      <c r="CB23" s="17" t="s">
        <v>78</v>
      </c>
      <c r="CC23" s="17" t="s">
        <v>78</v>
      </c>
      <c r="CD23" s="17" t="s">
        <v>78</v>
      </c>
      <c r="CE23" s="69" t="s">
        <v>78</v>
      </c>
      <c r="CF23" s="17" t="s">
        <v>78</v>
      </c>
      <c r="CG23" s="17" t="s">
        <v>78</v>
      </c>
      <c r="CH23" s="17" t="s">
        <v>78</v>
      </c>
      <c r="CI23" s="17" t="s">
        <v>78</v>
      </c>
      <c r="CJ23" s="69" t="s">
        <v>78</v>
      </c>
      <c r="CK23" s="17">
        <v>2.9999999999999997E-4</v>
      </c>
      <c r="CL23" s="17" t="s">
        <v>78</v>
      </c>
      <c r="CM23" s="17" t="s">
        <v>78</v>
      </c>
      <c r="CN23" s="17">
        <v>1E-4</v>
      </c>
      <c r="CO23" s="17" t="s">
        <v>78</v>
      </c>
      <c r="CP23" s="17" t="s">
        <v>78</v>
      </c>
      <c r="CQ23" s="17" t="s">
        <v>78</v>
      </c>
      <c r="CR23" s="17" t="s">
        <v>78</v>
      </c>
      <c r="CS23" s="69" t="s">
        <v>78</v>
      </c>
      <c r="CT23" s="69" t="s">
        <v>78</v>
      </c>
      <c r="CU23" s="338" t="s">
        <v>78</v>
      </c>
      <c r="CV23" s="69" t="s">
        <v>78</v>
      </c>
      <c r="CW23" s="60">
        <v>0.53</v>
      </c>
      <c r="CX23" s="17" t="s">
        <v>78</v>
      </c>
      <c r="CY23" s="69" t="s">
        <v>78</v>
      </c>
      <c r="CZ23" s="69" t="s">
        <v>78</v>
      </c>
      <c r="DA23" s="17" t="s">
        <v>78</v>
      </c>
      <c r="DB23" s="17" t="s">
        <v>78</v>
      </c>
      <c r="DC23" s="17" t="s">
        <v>78</v>
      </c>
      <c r="DD23" s="17" t="s">
        <v>78</v>
      </c>
      <c r="DE23" s="17">
        <v>2.6499999999999999E-2</v>
      </c>
      <c r="DF23" s="17" t="s">
        <v>78</v>
      </c>
      <c r="DG23" s="17" t="s">
        <v>78</v>
      </c>
      <c r="DH23" s="69" t="s">
        <v>78</v>
      </c>
      <c r="DI23" s="69" t="s">
        <v>78</v>
      </c>
      <c r="DJ23" s="17" t="s">
        <v>78</v>
      </c>
      <c r="DK23" s="17" t="s">
        <v>78</v>
      </c>
      <c r="DL23" s="17" t="s">
        <v>78</v>
      </c>
      <c r="DM23" s="17" t="s">
        <v>78</v>
      </c>
      <c r="DN23" s="17">
        <v>1.9699999999999999E-2</v>
      </c>
      <c r="DO23" s="17" t="s">
        <v>78</v>
      </c>
      <c r="DP23" s="17" t="s">
        <v>78</v>
      </c>
      <c r="DQ23" s="14"/>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row>
    <row r="24" spans="2:158" ht="16.5" x14ac:dyDescent="0.35">
      <c r="B24" s="64"/>
      <c r="C24" s="282"/>
      <c r="D24" s="9">
        <v>10300603</v>
      </c>
      <c r="E24" s="341" t="s">
        <v>87</v>
      </c>
      <c r="F24" s="54" t="s">
        <v>417</v>
      </c>
      <c r="G24" s="314" t="s">
        <v>146</v>
      </c>
      <c r="H24" s="548" t="s">
        <v>455</v>
      </c>
      <c r="I24" s="151" t="s">
        <v>78</v>
      </c>
      <c r="J24" s="69" t="s">
        <v>78</v>
      </c>
      <c r="K24" s="17">
        <v>2.0000000000000001E-4</v>
      </c>
      <c r="L24" s="69">
        <v>4.4000000000000003E-3</v>
      </c>
      <c r="M24" s="238">
        <v>1.2E-5</v>
      </c>
      <c r="N24" s="17">
        <v>1.1000000000000001E-3</v>
      </c>
      <c r="O24" s="439">
        <f t="shared" si="5"/>
        <v>5.5999999999999999E-5</v>
      </c>
      <c r="P24" s="69">
        <v>1.4E-3</v>
      </c>
      <c r="Q24" s="439">
        <v>8.3999999999999995E-5</v>
      </c>
      <c r="R24" s="17">
        <v>8.4999999999999995E-4</v>
      </c>
      <c r="S24" s="17">
        <v>5.0000000000000001E-4</v>
      </c>
      <c r="T24" s="17">
        <v>3.8000000000000002E-4</v>
      </c>
      <c r="U24" s="17">
        <v>2.5999999999999998E-4</v>
      </c>
      <c r="V24" s="69">
        <v>1.1000000000000001E-3</v>
      </c>
      <c r="W24" s="17">
        <v>2.0999999999999999E-3</v>
      </c>
      <c r="X24" s="69" t="s">
        <v>78</v>
      </c>
      <c r="Y24" s="238">
        <v>2.4000000000000001E-5</v>
      </c>
      <c r="Z24" s="17" t="s">
        <v>78</v>
      </c>
      <c r="AA24" s="17" t="s">
        <v>78</v>
      </c>
      <c r="AB24" s="17">
        <v>2.3E-3</v>
      </c>
      <c r="AC24" s="77">
        <v>2.9000000000000001E-2</v>
      </c>
      <c r="AD24" s="69" t="s">
        <v>78</v>
      </c>
      <c r="AE24" s="69" t="s">
        <v>78</v>
      </c>
      <c r="AF24" s="24">
        <v>4.3E-3</v>
      </c>
      <c r="AG24" s="69" t="s">
        <v>78</v>
      </c>
      <c r="AH24" s="24">
        <v>2.7000000000000001E-3</v>
      </c>
      <c r="AI24" s="17" t="s">
        <v>78</v>
      </c>
      <c r="AJ24" s="17" t="s">
        <v>78</v>
      </c>
      <c r="AK24" s="69" t="s">
        <v>78</v>
      </c>
      <c r="AL24" s="17" t="s">
        <v>78</v>
      </c>
      <c r="AM24" s="342">
        <v>8.0000000000000002E-3</v>
      </c>
      <c r="AN24" s="17" t="s">
        <v>78</v>
      </c>
      <c r="AO24" s="17" t="s">
        <v>78</v>
      </c>
      <c r="AP24" s="69" t="s">
        <v>78</v>
      </c>
      <c r="AQ24" s="69" t="s">
        <v>78</v>
      </c>
      <c r="AR24" s="17" t="s">
        <v>78</v>
      </c>
      <c r="AS24" s="17" t="s">
        <v>78</v>
      </c>
      <c r="AT24" s="17" t="s">
        <v>78</v>
      </c>
      <c r="AU24" s="17" t="s">
        <v>78</v>
      </c>
      <c r="AV24" s="17" t="s">
        <v>78</v>
      </c>
      <c r="AW24" s="17" t="s">
        <v>78</v>
      </c>
      <c r="AX24" s="17" t="s">
        <v>78</v>
      </c>
      <c r="AY24" s="17" t="s">
        <v>78</v>
      </c>
      <c r="AZ24" s="69" t="s">
        <v>78</v>
      </c>
      <c r="BA24" s="17" t="s">
        <v>78</v>
      </c>
      <c r="BB24" s="17" t="s">
        <v>78</v>
      </c>
      <c r="BC24" s="69" t="s">
        <v>78</v>
      </c>
      <c r="BD24" s="69" t="s">
        <v>78</v>
      </c>
      <c r="BE24" s="17" t="s">
        <v>78</v>
      </c>
      <c r="BF24" s="17" t="s">
        <v>78</v>
      </c>
      <c r="BG24" s="24">
        <v>9.4999999999999998E-3</v>
      </c>
      <c r="BH24" s="17" t="s">
        <v>78</v>
      </c>
      <c r="BI24" s="17" t="s">
        <v>78</v>
      </c>
      <c r="BJ24" s="17" t="s">
        <v>78</v>
      </c>
      <c r="BK24" s="69" t="s">
        <v>78</v>
      </c>
      <c r="BL24" s="69" t="s">
        <v>78</v>
      </c>
      <c r="BM24" s="342">
        <v>1.7000000000000001E-2</v>
      </c>
      <c r="BN24" s="24" t="s">
        <v>78</v>
      </c>
      <c r="BO24" s="24" t="s">
        <v>78</v>
      </c>
      <c r="BP24" s="24" t="s">
        <v>78</v>
      </c>
      <c r="BQ24" s="24" t="s">
        <v>78</v>
      </c>
      <c r="BR24" s="24" t="s">
        <v>78</v>
      </c>
      <c r="BS24" s="24" t="s">
        <v>78</v>
      </c>
      <c r="BT24" s="24" t="s">
        <v>78</v>
      </c>
      <c r="BU24" s="24" t="s">
        <v>78</v>
      </c>
      <c r="BV24" s="24" t="s">
        <v>78</v>
      </c>
      <c r="BW24" s="24" t="s">
        <v>78</v>
      </c>
      <c r="BX24" s="24">
        <v>6.3E-3</v>
      </c>
      <c r="BY24" s="17" t="s">
        <v>78</v>
      </c>
      <c r="BZ24" s="17" t="s">
        <v>78</v>
      </c>
      <c r="CA24" s="17" t="s">
        <v>78</v>
      </c>
      <c r="CB24" s="17" t="s">
        <v>78</v>
      </c>
      <c r="CC24" s="17" t="s">
        <v>78</v>
      </c>
      <c r="CD24" s="17" t="s">
        <v>78</v>
      </c>
      <c r="CE24" s="69" t="s">
        <v>78</v>
      </c>
      <c r="CF24" s="17" t="s">
        <v>78</v>
      </c>
      <c r="CG24" s="17" t="s">
        <v>78</v>
      </c>
      <c r="CH24" s="17" t="s">
        <v>78</v>
      </c>
      <c r="CI24" s="17" t="s">
        <v>78</v>
      </c>
      <c r="CJ24" s="69" t="s">
        <v>78</v>
      </c>
      <c r="CK24" s="17">
        <v>2.9999999999999997E-4</v>
      </c>
      <c r="CL24" s="17" t="s">
        <v>78</v>
      </c>
      <c r="CM24" s="17" t="s">
        <v>78</v>
      </c>
      <c r="CN24" s="17">
        <v>1E-4</v>
      </c>
      <c r="CO24" s="17" t="s">
        <v>78</v>
      </c>
      <c r="CP24" s="17" t="s">
        <v>78</v>
      </c>
      <c r="CQ24" s="17" t="s">
        <v>78</v>
      </c>
      <c r="CR24" s="17" t="s">
        <v>78</v>
      </c>
      <c r="CS24" s="69" t="s">
        <v>78</v>
      </c>
      <c r="CT24" s="69" t="s">
        <v>78</v>
      </c>
      <c r="CU24" s="338" t="s">
        <v>78</v>
      </c>
      <c r="CV24" s="69" t="s">
        <v>78</v>
      </c>
      <c r="CW24" s="60">
        <v>0.73099999999999998</v>
      </c>
      <c r="CX24" s="17" t="s">
        <v>78</v>
      </c>
      <c r="CY24" s="69" t="s">
        <v>78</v>
      </c>
      <c r="CZ24" s="69" t="s">
        <v>78</v>
      </c>
      <c r="DA24" s="17" t="s">
        <v>78</v>
      </c>
      <c r="DB24" s="17" t="s">
        <v>78</v>
      </c>
      <c r="DC24" s="17" t="s">
        <v>78</v>
      </c>
      <c r="DD24" s="17" t="s">
        <v>78</v>
      </c>
      <c r="DE24" s="17">
        <v>3.6600000000000001E-2</v>
      </c>
      <c r="DF24" s="17" t="s">
        <v>78</v>
      </c>
      <c r="DG24" s="17" t="s">
        <v>78</v>
      </c>
      <c r="DH24" s="69" t="s">
        <v>78</v>
      </c>
      <c r="DI24" s="69" t="s">
        <v>78</v>
      </c>
      <c r="DJ24" s="17" t="s">
        <v>78</v>
      </c>
      <c r="DK24" s="17" t="s">
        <v>78</v>
      </c>
      <c r="DL24" s="17" t="s">
        <v>78</v>
      </c>
      <c r="DM24" s="17" t="s">
        <v>78</v>
      </c>
      <c r="DN24" s="17">
        <v>2.7199999999999998E-2</v>
      </c>
      <c r="DO24" s="17" t="s">
        <v>78</v>
      </c>
      <c r="DP24" s="17" t="s">
        <v>78</v>
      </c>
      <c r="DQ24" s="14"/>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row>
    <row r="25" spans="2:158" x14ac:dyDescent="0.35">
      <c r="B25" s="64"/>
      <c r="C25" s="282"/>
      <c r="D25" s="9"/>
      <c r="E25" s="275" t="s">
        <v>206</v>
      </c>
      <c r="F25" s="54"/>
      <c r="G25" s="314"/>
      <c r="H25" s="528"/>
      <c r="I25" s="151"/>
      <c r="J25" s="69"/>
      <c r="K25" s="17"/>
      <c r="L25" s="69"/>
      <c r="M25" s="238"/>
      <c r="N25" s="17"/>
      <c r="O25" s="138"/>
      <c r="P25" s="69"/>
      <c r="Q25" s="439"/>
      <c r="R25" s="17"/>
      <c r="S25" s="17"/>
      <c r="T25" s="17"/>
      <c r="U25" s="17"/>
      <c r="V25" s="69"/>
      <c r="W25" s="17"/>
      <c r="X25" s="69"/>
      <c r="Y25" s="238"/>
      <c r="Z25" s="17"/>
      <c r="AA25" s="17"/>
      <c r="AB25" s="17"/>
      <c r="AC25" s="77"/>
      <c r="AD25" s="69"/>
      <c r="AE25" s="69"/>
      <c r="AF25" s="24"/>
      <c r="AG25" s="69"/>
      <c r="AH25" s="24"/>
      <c r="AI25" s="17"/>
      <c r="AJ25" s="17"/>
      <c r="AK25" s="69"/>
      <c r="AL25" s="17"/>
      <c r="AM25" s="342"/>
      <c r="AN25" s="17"/>
      <c r="AO25" s="17"/>
      <c r="AP25" s="69"/>
      <c r="AQ25" s="69"/>
      <c r="AR25" s="17"/>
      <c r="AS25" s="17"/>
      <c r="AT25" s="17"/>
      <c r="AU25" s="17"/>
      <c r="AV25" s="17"/>
      <c r="AW25" s="17"/>
      <c r="AX25" s="17"/>
      <c r="AY25" s="17"/>
      <c r="AZ25" s="69"/>
      <c r="BA25" s="17"/>
      <c r="BB25" s="17"/>
      <c r="BC25" s="69"/>
      <c r="BD25" s="69"/>
      <c r="BE25" s="17"/>
      <c r="BF25" s="17"/>
      <c r="BG25" s="24"/>
      <c r="BH25" s="17"/>
      <c r="BI25" s="17"/>
      <c r="BJ25" s="17"/>
      <c r="BK25" s="69"/>
      <c r="BL25" s="69"/>
      <c r="BM25" s="342"/>
      <c r="BN25" s="24"/>
      <c r="BO25" s="24"/>
      <c r="BP25" s="24"/>
      <c r="BQ25" s="24"/>
      <c r="BR25" s="24"/>
      <c r="BS25" s="24"/>
      <c r="BT25" s="24"/>
      <c r="BU25" s="24"/>
      <c r="BV25" s="24"/>
      <c r="BW25" s="24"/>
      <c r="BX25" s="24"/>
      <c r="BY25" s="17"/>
      <c r="BZ25" s="17"/>
      <c r="CA25" s="17"/>
      <c r="CB25" s="17"/>
      <c r="CC25" s="17"/>
      <c r="CD25" s="17"/>
      <c r="CE25" s="69"/>
      <c r="CF25" s="17"/>
      <c r="CG25" s="17"/>
      <c r="CH25" s="17"/>
      <c r="CI25" s="17"/>
      <c r="CJ25" s="69"/>
      <c r="CK25" s="17"/>
      <c r="CL25" s="17"/>
      <c r="CM25" s="17"/>
      <c r="CN25" s="17"/>
      <c r="CO25" s="17"/>
      <c r="CP25" s="17"/>
      <c r="CQ25" s="17"/>
      <c r="CR25" s="17"/>
      <c r="CS25" s="69"/>
      <c r="CT25" s="69"/>
      <c r="CU25" s="17"/>
      <c r="CV25" s="69"/>
      <c r="CW25" s="60"/>
      <c r="CX25" s="17"/>
      <c r="CY25" s="69"/>
      <c r="CZ25" s="69"/>
      <c r="DA25" s="17"/>
      <c r="DB25" s="17"/>
      <c r="DC25" s="17"/>
      <c r="DD25" s="17"/>
      <c r="DE25" s="17"/>
      <c r="DF25" s="17"/>
      <c r="DG25" s="17"/>
      <c r="DH25" s="69"/>
      <c r="DI25" s="69"/>
      <c r="DJ25" s="17"/>
      <c r="DK25" s="17"/>
      <c r="DL25" s="17"/>
      <c r="DM25" s="17"/>
      <c r="DN25" s="17"/>
      <c r="DO25" s="17"/>
      <c r="DP25" s="17"/>
      <c r="DQ25" s="14"/>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row>
    <row r="26" spans="2:158" ht="15" customHeight="1" x14ac:dyDescent="0.35">
      <c r="B26" s="64"/>
      <c r="C26" s="282"/>
      <c r="D26" s="9" t="s">
        <v>335</v>
      </c>
      <c r="E26" s="341" t="s">
        <v>99</v>
      </c>
      <c r="F26" s="54" t="s">
        <v>417</v>
      </c>
      <c r="G26" s="314" t="s">
        <v>146</v>
      </c>
      <c r="H26" s="548" t="s">
        <v>455</v>
      </c>
      <c r="I26" s="151" t="s">
        <v>78</v>
      </c>
      <c r="J26" s="69" t="s">
        <v>78</v>
      </c>
      <c r="K26" s="17">
        <v>2.0000000000000001E-4</v>
      </c>
      <c r="L26" s="69">
        <v>4.4000000000000003E-3</v>
      </c>
      <c r="M26" s="238">
        <v>1.2E-5</v>
      </c>
      <c r="N26" s="17">
        <v>1.1000000000000001E-3</v>
      </c>
      <c r="O26" s="439">
        <f>4%*P26</f>
        <v>5.5999999999999999E-5</v>
      </c>
      <c r="P26" s="69">
        <v>1.4E-3</v>
      </c>
      <c r="Q26" s="439">
        <v>8.3999999999999995E-5</v>
      </c>
      <c r="R26" s="17">
        <v>8.4999999999999995E-4</v>
      </c>
      <c r="S26" s="17">
        <v>5.0000000000000001E-4</v>
      </c>
      <c r="T26" s="17">
        <v>3.8000000000000002E-4</v>
      </c>
      <c r="U26" s="17">
        <v>2.5999999999999998E-4</v>
      </c>
      <c r="V26" s="69">
        <v>1.1000000000000001E-3</v>
      </c>
      <c r="W26" s="17">
        <v>2.0999999999999999E-3</v>
      </c>
      <c r="X26" s="69" t="s">
        <v>78</v>
      </c>
      <c r="Y26" s="238">
        <v>2.4000000000000001E-5</v>
      </c>
      <c r="Z26" s="17" t="s">
        <v>78</v>
      </c>
      <c r="AA26" s="17" t="s">
        <v>78</v>
      </c>
      <c r="AB26" s="17">
        <v>2.3E-3</v>
      </c>
      <c r="AC26" s="77">
        <v>2.9000000000000001E-2</v>
      </c>
      <c r="AD26" s="69" t="s">
        <v>78</v>
      </c>
      <c r="AE26" s="69" t="s">
        <v>78</v>
      </c>
      <c r="AF26" s="17">
        <v>8.9999999999999998E-4</v>
      </c>
      <c r="AG26" s="69" t="s">
        <v>78</v>
      </c>
      <c r="AH26" s="17">
        <v>8.0000000000000004E-4</v>
      </c>
      <c r="AI26" s="17" t="s">
        <v>78</v>
      </c>
      <c r="AJ26" s="17" t="s">
        <v>78</v>
      </c>
      <c r="AK26" s="69" t="s">
        <v>78</v>
      </c>
      <c r="AL26" s="17" t="s">
        <v>78</v>
      </c>
      <c r="AM26" s="17">
        <v>1.6999999999999999E-3</v>
      </c>
      <c r="AN26" s="17" t="s">
        <v>78</v>
      </c>
      <c r="AO26" s="17" t="s">
        <v>78</v>
      </c>
      <c r="AP26" s="69" t="s">
        <v>78</v>
      </c>
      <c r="AQ26" s="69" t="s">
        <v>78</v>
      </c>
      <c r="AR26" s="17" t="s">
        <v>78</v>
      </c>
      <c r="AS26" s="17" t="s">
        <v>78</v>
      </c>
      <c r="AT26" s="17" t="s">
        <v>78</v>
      </c>
      <c r="AU26" s="17" t="s">
        <v>78</v>
      </c>
      <c r="AV26" s="17" t="s">
        <v>78</v>
      </c>
      <c r="AW26" s="17" t="s">
        <v>78</v>
      </c>
      <c r="AX26" s="17" t="s">
        <v>78</v>
      </c>
      <c r="AY26" s="17" t="s">
        <v>78</v>
      </c>
      <c r="AZ26" s="69" t="s">
        <v>78</v>
      </c>
      <c r="BA26" s="17" t="s">
        <v>78</v>
      </c>
      <c r="BB26" s="17" t="s">
        <v>78</v>
      </c>
      <c r="BC26" s="69" t="s">
        <v>78</v>
      </c>
      <c r="BD26" s="69" t="s">
        <v>78</v>
      </c>
      <c r="BE26" s="17" t="s">
        <v>78</v>
      </c>
      <c r="BF26" s="17" t="s">
        <v>78</v>
      </c>
      <c r="BG26" s="60">
        <v>2E-3</v>
      </c>
      <c r="BH26" s="17" t="s">
        <v>78</v>
      </c>
      <c r="BI26" s="17" t="s">
        <v>78</v>
      </c>
      <c r="BJ26" s="17" t="s">
        <v>78</v>
      </c>
      <c r="BK26" s="69" t="s">
        <v>78</v>
      </c>
      <c r="BL26" s="69" t="s">
        <v>78</v>
      </c>
      <c r="BM26" s="17">
        <v>3.5999999999999999E-3</v>
      </c>
      <c r="BN26" s="17" t="s">
        <v>78</v>
      </c>
      <c r="BO26" s="17" t="s">
        <v>78</v>
      </c>
      <c r="BP26" s="17" t="s">
        <v>78</v>
      </c>
      <c r="BQ26" s="17" t="s">
        <v>78</v>
      </c>
      <c r="BR26" s="17" t="s">
        <v>78</v>
      </c>
      <c r="BS26" s="17" t="s">
        <v>78</v>
      </c>
      <c r="BT26" s="17" t="s">
        <v>78</v>
      </c>
      <c r="BU26" s="17" t="s">
        <v>78</v>
      </c>
      <c r="BV26" s="17" t="s">
        <v>78</v>
      </c>
      <c r="BW26" s="17" t="s">
        <v>78</v>
      </c>
      <c r="BX26" s="17">
        <v>1.2999999999999999E-3</v>
      </c>
      <c r="BY26" s="17" t="s">
        <v>78</v>
      </c>
      <c r="BZ26" s="17" t="s">
        <v>78</v>
      </c>
      <c r="CA26" s="17" t="s">
        <v>78</v>
      </c>
      <c r="CB26" s="17" t="s">
        <v>78</v>
      </c>
      <c r="CC26" s="17" t="s">
        <v>78</v>
      </c>
      <c r="CD26" s="17" t="s">
        <v>78</v>
      </c>
      <c r="CE26" s="69" t="s">
        <v>78</v>
      </c>
      <c r="CF26" s="17" t="s">
        <v>78</v>
      </c>
      <c r="CG26" s="17" t="s">
        <v>78</v>
      </c>
      <c r="CH26" s="17" t="s">
        <v>78</v>
      </c>
      <c r="CI26" s="17" t="s">
        <v>78</v>
      </c>
      <c r="CJ26" s="69" t="s">
        <v>78</v>
      </c>
      <c r="CK26" s="17">
        <v>2.9999999999999997E-4</v>
      </c>
      <c r="CL26" s="17" t="s">
        <v>78</v>
      </c>
      <c r="CM26" s="17" t="s">
        <v>78</v>
      </c>
      <c r="CN26" s="17">
        <v>1E-4</v>
      </c>
      <c r="CO26" s="17" t="s">
        <v>78</v>
      </c>
      <c r="CP26" s="17" t="s">
        <v>78</v>
      </c>
      <c r="CQ26" s="17" t="s">
        <v>78</v>
      </c>
      <c r="CR26" s="17" t="s">
        <v>78</v>
      </c>
      <c r="CS26" s="69" t="s">
        <v>78</v>
      </c>
      <c r="CT26" s="69" t="s">
        <v>78</v>
      </c>
      <c r="CU26" s="338" t="s">
        <v>78</v>
      </c>
      <c r="CV26" s="69" t="s">
        <v>78</v>
      </c>
      <c r="CW26" s="17">
        <v>1.553E-2</v>
      </c>
      <c r="CX26" s="17" t="s">
        <v>78</v>
      </c>
      <c r="CY26" s="69" t="s">
        <v>78</v>
      </c>
      <c r="CZ26" s="69" t="s">
        <v>78</v>
      </c>
      <c r="DA26" s="17" t="s">
        <v>78</v>
      </c>
      <c r="DB26" s="17" t="s">
        <v>78</v>
      </c>
      <c r="DC26" s="17" t="s">
        <v>78</v>
      </c>
      <c r="DD26" s="17" t="s">
        <v>78</v>
      </c>
      <c r="DE26" s="17">
        <v>7.7999999999999996E-3</v>
      </c>
      <c r="DF26" s="17" t="s">
        <v>78</v>
      </c>
      <c r="DG26" s="17" t="s">
        <v>78</v>
      </c>
      <c r="DH26" s="69" t="s">
        <v>78</v>
      </c>
      <c r="DI26" s="69" t="s">
        <v>78</v>
      </c>
      <c r="DJ26" s="17" t="s">
        <v>78</v>
      </c>
      <c r="DK26" s="17" t="s">
        <v>78</v>
      </c>
      <c r="DL26" s="17" t="s">
        <v>78</v>
      </c>
      <c r="DM26" s="17" t="s">
        <v>78</v>
      </c>
      <c r="DN26" s="17">
        <v>5.7999999999999996E-3</v>
      </c>
      <c r="DO26" s="17" t="s">
        <v>78</v>
      </c>
      <c r="DP26" s="17" t="s">
        <v>78</v>
      </c>
      <c r="DQ26" s="14"/>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row>
    <row r="27" spans="2:158" ht="15.75" customHeight="1" x14ac:dyDescent="0.35">
      <c r="B27" s="64"/>
      <c r="C27" s="282"/>
      <c r="D27" s="9" t="s">
        <v>335</v>
      </c>
      <c r="E27" s="341" t="s">
        <v>101</v>
      </c>
      <c r="F27" s="54" t="s">
        <v>417</v>
      </c>
      <c r="G27" s="314" t="s">
        <v>146</v>
      </c>
      <c r="H27" s="548" t="s">
        <v>455</v>
      </c>
      <c r="I27" s="151" t="s">
        <v>78</v>
      </c>
      <c r="J27" s="69" t="s">
        <v>78</v>
      </c>
      <c r="K27" s="17">
        <v>2.0000000000000001E-4</v>
      </c>
      <c r="L27" s="69">
        <v>4.4000000000000003E-3</v>
      </c>
      <c r="M27" s="238">
        <v>1.2E-5</v>
      </c>
      <c r="N27" s="17">
        <v>1.1000000000000001E-3</v>
      </c>
      <c r="O27" s="439">
        <f t="shared" ref="O27:O28" si="6">4%*P27</f>
        <v>5.5999999999999999E-5</v>
      </c>
      <c r="P27" s="69">
        <v>1.4E-3</v>
      </c>
      <c r="Q27" s="439">
        <v>8.3999999999999995E-5</v>
      </c>
      <c r="R27" s="17">
        <v>8.4999999999999995E-4</v>
      </c>
      <c r="S27" s="17">
        <v>5.0000000000000001E-4</v>
      </c>
      <c r="T27" s="17">
        <v>3.8000000000000002E-4</v>
      </c>
      <c r="U27" s="17">
        <v>2.5999999999999998E-4</v>
      </c>
      <c r="V27" s="69">
        <v>1.1000000000000001E-3</v>
      </c>
      <c r="W27" s="17">
        <v>2.0999999999999999E-3</v>
      </c>
      <c r="X27" s="69" t="s">
        <v>78</v>
      </c>
      <c r="Y27" s="238">
        <v>2.4000000000000001E-5</v>
      </c>
      <c r="Z27" s="17" t="s">
        <v>78</v>
      </c>
      <c r="AA27" s="17" t="s">
        <v>78</v>
      </c>
      <c r="AB27" s="17">
        <v>2.3E-3</v>
      </c>
      <c r="AC27" s="77">
        <v>2.9000000000000001E-2</v>
      </c>
      <c r="AD27" s="69" t="s">
        <v>78</v>
      </c>
      <c r="AE27" s="69" t="s">
        <v>78</v>
      </c>
      <c r="AF27" s="17">
        <v>3.0999999999999999E-3</v>
      </c>
      <c r="AG27" s="69" t="s">
        <v>78</v>
      </c>
      <c r="AH27" s="17">
        <v>2.7000000000000001E-3</v>
      </c>
      <c r="AI27" s="17" t="s">
        <v>78</v>
      </c>
      <c r="AJ27" s="17" t="s">
        <v>78</v>
      </c>
      <c r="AK27" s="69" t="s">
        <v>78</v>
      </c>
      <c r="AL27" s="17" t="s">
        <v>78</v>
      </c>
      <c r="AM27" s="17">
        <v>5.7999999999999996E-3</v>
      </c>
      <c r="AN27" s="17" t="s">
        <v>78</v>
      </c>
      <c r="AO27" s="17" t="s">
        <v>78</v>
      </c>
      <c r="AP27" s="69" t="s">
        <v>78</v>
      </c>
      <c r="AQ27" s="69" t="s">
        <v>78</v>
      </c>
      <c r="AR27" s="17" t="s">
        <v>78</v>
      </c>
      <c r="AS27" s="17" t="s">
        <v>78</v>
      </c>
      <c r="AT27" s="17" t="s">
        <v>78</v>
      </c>
      <c r="AU27" s="17" t="s">
        <v>78</v>
      </c>
      <c r="AV27" s="17" t="s">
        <v>78</v>
      </c>
      <c r="AW27" s="17" t="s">
        <v>78</v>
      </c>
      <c r="AX27" s="17" t="s">
        <v>78</v>
      </c>
      <c r="AY27" s="17" t="s">
        <v>78</v>
      </c>
      <c r="AZ27" s="69" t="s">
        <v>78</v>
      </c>
      <c r="BA27" s="17" t="s">
        <v>78</v>
      </c>
      <c r="BB27" s="17" t="s">
        <v>78</v>
      </c>
      <c r="BC27" s="69" t="s">
        <v>78</v>
      </c>
      <c r="BD27" s="69" t="s">
        <v>78</v>
      </c>
      <c r="BE27" s="17" t="s">
        <v>78</v>
      </c>
      <c r="BF27" s="17" t="s">
        <v>78</v>
      </c>
      <c r="BG27" s="17">
        <v>6.8999999999999999E-3</v>
      </c>
      <c r="BH27" s="17" t="s">
        <v>78</v>
      </c>
      <c r="BI27" s="17" t="s">
        <v>78</v>
      </c>
      <c r="BJ27" s="17" t="s">
        <v>78</v>
      </c>
      <c r="BK27" s="69" t="s">
        <v>78</v>
      </c>
      <c r="BL27" s="69" t="s">
        <v>78</v>
      </c>
      <c r="BM27" s="17">
        <v>1.23E-2</v>
      </c>
      <c r="BN27" s="17" t="s">
        <v>78</v>
      </c>
      <c r="BO27" s="17" t="s">
        <v>78</v>
      </c>
      <c r="BP27" s="17" t="s">
        <v>78</v>
      </c>
      <c r="BQ27" s="17" t="s">
        <v>78</v>
      </c>
      <c r="BR27" s="17" t="s">
        <v>78</v>
      </c>
      <c r="BS27" s="17" t="s">
        <v>78</v>
      </c>
      <c r="BT27" s="17" t="s">
        <v>78</v>
      </c>
      <c r="BU27" s="17" t="s">
        <v>78</v>
      </c>
      <c r="BV27" s="17" t="s">
        <v>78</v>
      </c>
      <c r="BW27" s="17" t="s">
        <v>78</v>
      </c>
      <c r="BX27" s="17">
        <v>4.5999999999999999E-3</v>
      </c>
      <c r="BY27" s="17" t="s">
        <v>78</v>
      </c>
      <c r="BZ27" s="17" t="s">
        <v>78</v>
      </c>
      <c r="CA27" s="17" t="s">
        <v>78</v>
      </c>
      <c r="CB27" s="17" t="s">
        <v>78</v>
      </c>
      <c r="CC27" s="17" t="s">
        <v>78</v>
      </c>
      <c r="CD27" s="17" t="s">
        <v>78</v>
      </c>
      <c r="CE27" s="69" t="s">
        <v>78</v>
      </c>
      <c r="CF27" s="17" t="s">
        <v>78</v>
      </c>
      <c r="CG27" s="17" t="s">
        <v>78</v>
      </c>
      <c r="CH27" s="17" t="s">
        <v>78</v>
      </c>
      <c r="CI27" s="17" t="s">
        <v>78</v>
      </c>
      <c r="CJ27" s="69" t="s">
        <v>78</v>
      </c>
      <c r="CK27" s="17">
        <v>2.9999999999999997E-4</v>
      </c>
      <c r="CL27" s="17" t="s">
        <v>78</v>
      </c>
      <c r="CM27" s="17" t="s">
        <v>78</v>
      </c>
      <c r="CN27" s="17">
        <v>1E-4</v>
      </c>
      <c r="CO27" s="17" t="s">
        <v>78</v>
      </c>
      <c r="CP27" s="17" t="s">
        <v>78</v>
      </c>
      <c r="CQ27" s="17" t="s">
        <v>78</v>
      </c>
      <c r="CR27" s="17" t="s">
        <v>78</v>
      </c>
      <c r="CS27" s="69" t="s">
        <v>78</v>
      </c>
      <c r="CT27" s="69" t="s">
        <v>78</v>
      </c>
      <c r="CU27" s="338" t="s">
        <v>78</v>
      </c>
      <c r="CV27" s="69" t="s">
        <v>78</v>
      </c>
      <c r="CW27" s="60">
        <v>0.53</v>
      </c>
      <c r="CX27" s="17" t="s">
        <v>78</v>
      </c>
      <c r="CY27" s="69" t="s">
        <v>78</v>
      </c>
      <c r="CZ27" s="69" t="s">
        <v>78</v>
      </c>
      <c r="DA27" s="17" t="s">
        <v>78</v>
      </c>
      <c r="DB27" s="17" t="s">
        <v>78</v>
      </c>
      <c r="DC27" s="17" t="s">
        <v>78</v>
      </c>
      <c r="DD27" s="17" t="s">
        <v>78</v>
      </c>
      <c r="DE27" s="17">
        <v>2.6499999999999999E-2</v>
      </c>
      <c r="DF27" s="17" t="s">
        <v>78</v>
      </c>
      <c r="DG27" s="17" t="s">
        <v>78</v>
      </c>
      <c r="DH27" s="69" t="s">
        <v>78</v>
      </c>
      <c r="DI27" s="69" t="s">
        <v>78</v>
      </c>
      <c r="DJ27" s="17" t="s">
        <v>78</v>
      </c>
      <c r="DK27" s="17" t="s">
        <v>78</v>
      </c>
      <c r="DL27" s="17" t="s">
        <v>78</v>
      </c>
      <c r="DM27" s="17" t="s">
        <v>78</v>
      </c>
      <c r="DN27" s="17">
        <v>1.9699999999999999E-2</v>
      </c>
      <c r="DO27" s="17" t="s">
        <v>78</v>
      </c>
      <c r="DP27" s="17" t="s">
        <v>78</v>
      </c>
      <c r="DQ27" s="14"/>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row>
    <row r="28" spans="2:158" ht="16.5" x14ac:dyDescent="0.35">
      <c r="B28" s="64"/>
      <c r="C28" s="282"/>
      <c r="D28" s="9" t="s">
        <v>335</v>
      </c>
      <c r="E28" s="341" t="s">
        <v>87</v>
      </c>
      <c r="F28" s="54" t="s">
        <v>417</v>
      </c>
      <c r="G28" s="314" t="s">
        <v>146</v>
      </c>
      <c r="H28" s="548" t="s">
        <v>455</v>
      </c>
      <c r="I28" s="151" t="s">
        <v>78</v>
      </c>
      <c r="J28" s="69" t="s">
        <v>78</v>
      </c>
      <c r="K28" s="17">
        <v>2.0000000000000001E-4</v>
      </c>
      <c r="L28" s="69">
        <v>4.4000000000000003E-3</v>
      </c>
      <c r="M28" s="238">
        <v>1.2E-5</v>
      </c>
      <c r="N28" s="17">
        <v>1.1000000000000001E-3</v>
      </c>
      <c r="O28" s="439">
        <f t="shared" si="6"/>
        <v>5.5999999999999999E-5</v>
      </c>
      <c r="P28" s="69">
        <v>1.4E-3</v>
      </c>
      <c r="Q28" s="439">
        <v>8.3999999999999995E-5</v>
      </c>
      <c r="R28" s="17">
        <v>8.4999999999999995E-4</v>
      </c>
      <c r="S28" s="17">
        <v>5.0000000000000001E-4</v>
      </c>
      <c r="T28" s="17">
        <v>3.8000000000000002E-4</v>
      </c>
      <c r="U28" s="17">
        <v>2.5999999999999998E-4</v>
      </c>
      <c r="V28" s="69">
        <v>1.1000000000000001E-3</v>
      </c>
      <c r="W28" s="17">
        <v>2.0999999999999999E-3</v>
      </c>
      <c r="X28" s="69" t="s">
        <v>78</v>
      </c>
      <c r="Y28" s="238">
        <v>2.4000000000000001E-5</v>
      </c>
      <c r="Z28" s="17" t="s">
        <v>78</v>
      </c>
      <c r="AA28" s="17" t="s">
        <v>78</v>
      </c>
      <c r="AB28" s="17">
        <v>2.3E-3</v>
      </c>
      <c r="AC28" s="77">
        <v>2.9000000000000001E-2</v>
      </c>
      <c r="AD28" s="69" t="s">
        <v>78</v>
      </c>
      <c r="AE28" s="69" t="s">
        <v>78</v>
      </c>
      <c r="AF28" s="24">
        <v>4.3E-3</v>
      </c>
      <c r="AG28" s="69" t="s">
        <v>78</v>
      </c>
      <c r="AH28" s="24">
        <v>2.7000000000000001E-3</v>
      </c>
      <c r="AI28" s="17" t="s">
        <v>78</v>
      </c>
      <c r="AJ28" s="17" t="s">
        <v>78</v>
      </c>
      <c r="AK28" s="69" t="s">
        <v>78</v>
      </c>
      <c r="AL28" s="17" t="s">
        <v>78</v>
      </c>
      <c r="AM28" s="342">
        <v>8.0000000000000002E-3</v>
      </c>
      <c r="AN28" s="17" t="s">
        <v>78</v>
      </c>
      <c r="AO28" s="17" t="s">
        <v>78</v>
      </c>
      <c r="AP28" s="69" t="s">
        <v>78</v>
      </c>
      <c r="AQ28" s="69" t="s">
        <v>78</v>
      </c>
      <c r="AR28" s="17" t="s">
        <v>78</v>
      </c>
      <c r="AS28" s="17" t="s">
        <v>78</v>
      </c>
      <c r="AT28" s="17" t="s">
        <v>78</v>
      </c>
      <c r="AU28" s="17" t="s">
        <v>78</v>
      </c>
      <c r="AV28" s="17" t="s">
        <v>78</v>
      </c>
      <c r="AW28" s="17" t="s">
        <v>78</v>
      </c>
      <c r="AX28" s="17" t="s">
        <v>78</v>
      </c>
      <c r="AY28" s="17" t="s">
        <v>78</v>
      </c>
      <c r="AZ28" s="69" t="s">
        <v>78</v>
      </c>
      <c r="BA28" s="17" t="s">
        <v>78</v>
      </c>
      <c r="BB28" s="17" t="s">
        <v>78</v>
      </c>
      <c r="BC28" s="69" t="s">
        <v>78</v>
      </c>
      <c r="BD28" s="69" t="s">
        <v>78</v>
      </c>
      <c r="BE28" s="17" t="s">
        <v>78</v>
      </c>
      <c r="BF28" s="17" t="s">
        <v>78</v>
      </c>
      <c r="BG28" s="24">
        <v>9.4999999999999998E-3</v>
      </c>
      <c r="BH28" s="17" t="s">
        <v>78</v>
      </c>
      <c r="BI28" s="17" t="s">
        <v>78</v>
      </c>
      <c r="BJ28" s="17" t="s">
        <v>78</v>
      </c>
      <c r="BK28" s="69" t="s">
        <v>78</v>
      </c>
      <c r="BL28" s="69" t="s">
        <v>78</v>
      </c>
      <c r="BM28" s="342">
        <v>1.7000000000000001E-2</v>
      </c>
      <c r="BN28" s="24" t="s">
        <v>78</v>
      </c>
      <c r="BO28" s="24" t="s">
        <v>78</v>
      </c>
      <c r="BP28" s="24" t="s">
        <v>78</v>
      </c>
      <c r="BQ28" s="24" t="s">
        <v>78</v>
      </c>
      <c r="BR28" s="24" t="s">
        <v>78</v>
      </c>
      <c r="BS28" s="24" t="s">
        <v>78</v>
      </c>
      <c r="BT28" s="24" t="s">
        <v>78</v>
      </c>
      <c r="BU28" s="24" t="s">
        <v>78</v>
      </c>
      <c r="BV28" s="24" t="s">
        <v>78</v>
      </c>
      <c r="BW28" s="24" t="s">
        <v>78</v>
      </c>
      <c r="BX28" s="24">
        <v>6.3E-3</v>
      </c>
      <c r="BY28" s="17" t="s">
        <v>78</v>
      </c>
      <c r="BZ28" s="17" t="s">
        <v>78</v>
      </c>
      <c r="CA28" s="17" t="s">
        <v>78</v>
      </c>
      <c r="CB28" s="17" t="s">
        <v>78</v>
      </c>
      <c r="CC28" s="17" t="s">
        <v>78</v>
      </c>
      <c r="CD28" s="17" t="s">
        <v>78</v>
      </c>
      <c r="CE28" s="69" t="s">
        <v>78</v>
      </c>
      <c r="CF28" s="17" t="s">
        <v>78</v>
      </c>
      <c r="CG28" s="17" t="s">
        <v>78</v>
      </c>
      <c r="CH28" s="17" t="s">
        <v>78</v>
      </c>
      <c r="CI28" s="17" t="s">
        <v>78</v>
      </c>
      <c r="CJ28" s="69" t="s">
        <v>78</v>
      </c>
      <c r="CK28" s="17">
        <v>2.9999999999999997E-4</v>
      </c>
      <c r="CL28" s="17" t="s">
        <v>78</v>
      </c>
      <c r="CM28" s="17" t="s">
        <v>78</v>
      </c>
      <c r="CN28" s="17">
        <v>1E-4</v>
      </c>
      <c r="CO28" s="17" t="s">
        <v>78</v>
      </c>
      <c r="CP28" s="17" t="s">
        <v>78</v>
      </c>
      <c r="CQ28" s="17" t="s">
        <v>78</v>
      </c>
      <c r="CR28" s="17" t="s">
        <v>78</v>
      </c>
      <c r="CS28" s="69" t="s">
        <v>78</v>
      </c>
      <c r="CT28" s="69" t="s">
        <v>78</v>
      </c>
      <c r="CU28" s="338" t="s">
        <v>78</v>
      </c>
      <c r="CV28" s="69" t="s">
        <v>78</v>
      </c>
      <c r="CW28" s="60">
        <v>0.73099999999999998</v>
      </c>
      <c r="CX28" s="17" t="s">
        <v>78</v>
      </c>
      <c r="CY28" s="69" t="s">
        <v>78</v>
      </c>
      <c r="CZ28" s="69" t="s">
        <v>78</v>
      </c>
      <c r="DA28" s="17" t="s">
        <v>78</v>
      </c>
      <c r="DB28" s="17" t="s">
        <v>78</v>
      </c>
      <c r="DC28" s="17" t="s">
        <v>78</v>
      </c>
      <c r="DD28" s="17" t="s">
        <v>78</v>
      </c>
      <c r="DE28" s="17">
        <v>3.6600000000000001E-2</v>
      </c>
      <c r="DF28" s="17" t="s">
        <v>78</v>
      </c>
      <c r="DG28" s="17" t="s">
        <v>78</v>
      </c>
      <c r="DH28" s="69" t="s">
        <v>78</v>
      </c>
      <c r="DI28" s="69" t="s">
        <v>78</v>
      </c>
      <c r="DJ28" s="17" t="s">
        <v>78</v>
      </c>
      <c r="DK28" s="17" t="s">
        <v>78</v>
      </c>
      <c r="DL28" s="17" t="s">
        <v>78</v>
      </c>
      <c r="DM28" s="17" t="s">
        <v>78</v>
      </c>
      <c r="DN28" s="17">
        <v>2.7199999999999998E-2</v>
      </c>
      <c r="DO28" s="17" t="s">
        <v>78</v>
      </c>
      <c r="DP28" s="17" t="s">
        <v>78</v>
      </c>
      <c r="DQ28" s="14"/>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row>
    <row r="29" spans="2:158" ht="15" thickBot="1" x14ac:dyDescent="0.4">
      <c r="B29" s="65"/>
      <c r="C29" s="283"/>
      <c r="D29" s="3"/>
      <c r="E29" s="4"/>
      <c r="F29" s="80"/>
      <c r="G29" s="4"/>
      <c r="H29" s="531"/>
      <c r="I29" s="152"/>
      <c r="J29" s="70"/>
      <c r="K29" s="49"/>
      <c r="L29" s="81"/>
      <c r="M29" s="259"/>
      <c r="N29" s="49"/>
      <c r="O29" s="58"/>
      <c r="P29" s="81"/>
      <c r="Q29" s="441"/>
      <c r="R29" s="49"/>
      <c r="S29" s="49"/>
      <c r="T29" s="49"/>
      <c r="U29" s="49"/>
      <c r="V29" s="81"/>
      <c r="W29" s="49"/>
      <c r="X29" s="81"/>
      <c r="Y29" s="259"/>
      <c r="Z29" s="49"/>
      <c r="AA29" s="49"/>
      <c r="AB29" s="49"/>
      <c r="AC29" s="82"/>
      <c r="AD29" s="81"/>
      <c r="AE29" s="81"/>
      <c r="AF29" s="49"/>
      <c r="AG29" s="81"/>
      <c r="AH29" s="49"/>
      <c r="AI29" s="49"/>
      <c r="AJ29" s="49"/>
      <c r="AK29" s="81"/>
      <c r="AL29" s="49"/>
      <c r="AM29" s="49"/>
      <c r="AN29" s="49"/>
      <c r="AO29" s="49"/>
      <c r="AP29" s="81"/>
      <c r="AQ29" s="81"/>
      <c r="AR29" s="49"/>
      <c r="AS29" s="49"/>
      <c r="AT29" s="49"/>
      <c r="AU29" s="49"/>
      <c r="AV29" s="49"/>
      <c r="AW29" s="49"/>
      <c r="AX29" s="49"/>
      <c r="AY29" s="49"/>
      <c r="AZ29" s="81"/>
      <c r="BA29" s="49"/>
      <c r="BB29" s="49"/>
      <c r="BC29" s="81"/>
      <c r="BD29" s="81"/>
      <c r="BE29" s="49"/>
      <c r="BF29" s="49"/>
      <c r="BG29" s="49"/>
      <c r="BH29" s="49"/>
      <c r="BI29" s="49"/>
      <c r="BJ29" s="49"/>
      <c r="BK29" s="81"/>
      <c r="BL29" s="81"/>
      <c r="BM29" s="49"/>
      <c r="BN29" s="49"/>
      <c r="BO29" s="49"/>
      <c r="BP29" s="49"/>
      <c r="BQ29" s="49"/>
      <c r="BR29" s="49"/>
      <c r="BS29" s="49"/>
      <c r="BT29" s="49"/>
      <c r="BU29" s="49"/>
      <c r="BV29" s="49"/>
      <c r="BW29" s="49"/>
      <c r="BX29" s="49"/>
      <c r="BY29" s="49"/>
      <c r="BZ29" s="49"/>
      <c r="CA29" s="49"/>
      <c r="CB29" s="49"/>
      <c r="CC29" s="49"/>
      <c r="CD29" s="49"/>
      <c r="CE29" s="81"/>
      <c r="CF29" s="49"/>
      <c r="CG29" s="53"/>
      <c r="CH29" s="53"/>
      <c r="CI29" s="49"/>
      <c r="CJ29" s="81"/>
      <c r="CK29" s="49"/>
      <c r="CL29" s="49"/>
      <c r="CM29" s="49"/>
      <c r="CN29" s="49"/>
      <c r="CO29" s="49"/>
      <c r="CP29" s="49"/>
      <c r="CQ29" s="49"/>
      <c r="CR29" s="49"/>
      <c r="CS29" s="81"/>
      <c r="CT29" s="81"/>
      <c r="CU29" s="49"/>
      <c r="CV29" s="81"/>
      <c r="CW29" s="49"/>
      <c r="CX29" s="49"/>
      <c r="CY29" s="81"/>
      <c r="CZ29" s="81"/>
      <c r="DA29" s="49"/>
      <c r="DB29" s="49"/>
      <c r="DC29" s="49"/>
      <c r="DD29" s="49"/>
      <c r="DE29" s="49"/>
      <c r="DF29" s="49"/>
      <c r="DG29" s="49"/>
      <c r="DH29" s="81"/>
      <c r="DI29" s="81"/>
      <c r="DJ29" s="49"/>
      <c r="DK29" s="49"/>
      <c r="DL29" s="49"/>
      <c r="DM29" s="49"/>
      <c r="DN29" s="49"/>
      <c r="DO29" s="49"/>
      <c r="DP29" s="49"/>
      <c r="DQ29" s="14"/>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row>
    <row r="30" spans="2:158" x14ac:dyDescent="0.35">
      <c r="B30" s="117"/>
      <c r="C30" s="280" t="s">
        <v>216</v>
      </c>
      <c r="D30" s="19"/>
      <c r="E30" s="20"/>
      <c r="F30" s="210"/>
      <c r="G30" s="21"/>
      <c r="H30" s="527"/>
      <c r="I30" s="150"/>
      <c r="J30" s="71"/>
      <c r="K30" s="85"/>
      <c r="L30" s="84"/>
      <c r="M30" s="260"/>
      <c r="N30" s="85"/>
      <c r="O30" s="59"/>
      <c r="P30" s="84"/>
      <c r="Q30" s="442"/>
      <c r="R30" s="85"/>
      <c r="S30" s="85"/>
      <c r="T30" s="85"/>
      <c r="U30" s="85"/>
      <c r="V30" s="84"/>
      <c r="W30" s="85"/>
      <c r="X30" s="84"/>
      <c r="Y30" s="260"/>
      <c r="Z30" s="85"/>
      <c r="AA30" s="85"/>
      <c r="AB30" s="85"/>
      <c r="AC30" s="86"/>
      <c r="AD30" s="97"/>
      <c r="AE30" s="97"/>
      <c r="AF30" s="24"/>
      <c r="AG30" s="97"/>
      <c r="AH30" s="24"/>
      <c r="AI30" s="24"/>
      <c r="AJ30" s="24"/>
      <c r="AK30" s="97"/>
      <c r="AL30" s="24"/>
      <c r="AM30" s="24"/>
      <c r="AN30" s="24"/>
      <c r="AO30" s="24"/>
      <c r="AP30" s="97"/>
      <c r="AQ30" s="97"/>
      <c r="AR30" s="24"/>
      <c r="AS30" s="24"/>
      <c r="AT30" s="24"/>
      <c r="AU30" s="24"/>
      <c r="AV30" s="24"/>
      <c r="AW30" s="24"/>
      <c r="AX30" s="24"/>
      <c r="AY30" s="24"/>
      <c r="AZ30" s="97"/>
      <c r="BA30" s="24"/>
      <c r="BB30" s="24"/>
      <c r="BC30" s="97"/>
      <c r="BD30" s="97"/>
      <c r="BG30" s="24"/>
      <c r="BH30" s="24"/>
      <c r="BI30" s="24"/>
      <c r="BJ30" s="24"/>
      <c r="BK30" s="97"/>
      <c r="BL30" s="97"/>
      <c r="BM30" s="24"/>
      <c r="BN30" s="24"/>
      <c r="BO30" s="24"/>
      <c r="BP30" s="24"/>
      <c r="BQ30" s="24"/>
      <c r="BR30" s="24"/>
      <c r="BS30" s="24"/>
      <c r="BT30" s="24"/>
      <c r="BU30" s="24"/>
      <c r="BV30" s="24"/>
      <c r="BW30" s="24"/>
      <c r="BX30" s="24"/>
      <c r="BY30" s="24"/>
      <c r="BZ30" s="24"/>
      <c r="CA30" s="24"/>
      <c r="CB30" s="24"/>
      <c r="CC30" s="24"/>
      <c r="CD30" s="24"/>
      <c r="CE30" s="97"/>
      <c r="CF30" s="24"/>
      <c r="CG30" s="17"/>
      <c r="CH30" s="17"/>
      <c r="CI30" s="24"/>
      <c r="CJ30" s="97"/>
      <c r="CK30" s="24"/>
      <c r="CL30" s="24"/>
      <c r="CM30" s="24"/>
      <c r="CN30" s="24"/>
      <c r="CO30" s="24"/>
      <c r="CP30" s="24"/>
      <c r="CQ30" s="24"/>
      <c r="CR30" s="24"/>
      <c r="CS30" s="97"/>
      <c r="CT30" s="97"/>
      <c r="CV30" s="97"/>
      <c r="CW30" s="24"/>
      <c r="CX30" s="24"/>
      <c r="CY30" s="97"/>
      <c r="CZ30" s="97"/>
      <c r="DA30" s="24"/>
      <c r="DB30" s="24"/>
      <c r="DC30" s="24"/>
      <c r="DD30" s="24"/>
      <c r="DE30" s="24"/>
      <c r="DF30" s="24"/>
      <c r="DG30" s="24"/>
      <c r="DH30" s="97"/>
      <c r="DI30" s="97"/>
      <c r="DL30" s="24"/>
      <c r="DM30" s="24"/>
      <c r="DN30" s="24"/>
      <c r="DO30" s="24"/>
      <c r="DP30" s="24"/>
      <c r="DQ30" s="14"/>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row>
    <row r="31" spans="2:158" x14ac:dyDescent="0.35">
      <c r="B31" s="64"/>
      <c r="C31" s="282"/>
      <c r="D31" s="24"/>
      <c r="E31" s="139" t="s">
        <v>217</v>
      </c>
      <c r="F31" s="210"/>
      <c r="G31" s="21"/>
      <c r="H31" s="527"/>
      <c r="I31" s="154"/>
      <c r="J31" s="96"/>
      <c r="K31" s="24"/>
      <c r="L31" s="97"/>
      <c r="M31" s="343"/>
      <c r="N31" s="24"/>
      <c r="P31" s="97"/>
      <c r="Q31" s="443"/>
      <c r="R31" s="24"/>
      <c r="S31" s="24"/>
      <c r="U31" s="24"/>
      <c r="V31" s="97"/>
      <c r="W31" s="24"/>
      <c r="X31" s="97"/>
      <c r="Y31" s="343"/>
      <c r="Z31" s="24"/>
      <c r="AA31" s="24"/>
      <c r="AB31" s="24"/>
      <c r="AC31" s="113"/>
      <c r="AD31" s="97"/>
      <c r="AE31" s="97"/>
      <c r="AF31" s="24"/>
      <c r="AG31" s="97"/>
      <c r="AH31" s="24"/>
      <c r="AI31" s="24"/>
      <c r="AJ31" s="24"/>
      <c r="AK31" s="97"/>
      <c r="AL31" s="24"/>
      <c r="AM31" s="24"/>
      <c r="AN31" s="24"/>
      <c r="AO31" s="24"/>
      <c r="AP31" s="97"/>
      <c r="AQ31" s="97"/>
      <c r="AR31" s="24"/>
      <c r="AS31" s="24"/>
      <c r="AT31" s="24"/>
      <c r="AU31" s="24"/>
      <c r="AV31" s="24"/>
      <c r="AW31" s="24"/>
      <c r="AX31" s="24"/>
      <c r="AY31" s="24"/>
      <c r="AZ31" s="97"/>
      <c r="BA31" s="24"/>
      <c r="BB31" s="24"/>
      <c r="BC31" s="97"/>
      <c r="BD31" s="97"/>
      <c r="BG31" s="24"/>
      <c r="BH31" s="24"/>
      <c r="BI31" s="24"/>
      <c r="BJ31" s="24"/>
      <c r="BK31" s="97"/>
      <c r="BL31" s="97"/>
      <c r="BM31" s="24"/>
      <c r="BN31" s="24"/>
      <c r="BO31" s="24"/>
      <c r="BP31" s="24"/>
      <c r="BQ31" s="24"/>
      <c r="BR31" s="24"/>
      <c r="BS31" s="24"/>
      <c r="BT31" s="24"/>
      <c r="BU31" s="24"/>
      <c r="BV31" s="24"/>
      <c r="BW31" s="24"/>
      <c r="BX31" s="24"/>
      <c r="BY31" s="24"/>
      <c r="BZ31" s="24"/>
      <c r="CA31" s="24"/>
      <c r="CB31" s="24"/>
      <c r="CC31" s="24"/>
      <c r="CD31" s="24"/>
      <c r="CE31" s="97"/>
      <c r="CF31" s="24"/>
      <c r="CG31" s="17"/>
      <c r="CH31" s="17"/>
      <c r="CI31" s="24"/>
      <c r="CJ31" s="97"/>
      <c r="CK31" s="24"/>
      <c r="CL31" s="24"/>
      <c r="CM31" s="24"/>
      <c r="CN31" s="24"/>
      <c r="CO31" s="24"/>
      <c r="CP31" s="24"/>
      <c r="CQ31" s="24"/>
      <c r="CR31" s="24"/>
      <c r="CS31" s="97"/>
      <c r="CT31" s="97"/>
      <c r="CV31" s="97"/>
      <c r="CW31" s="24"/>
      <c r="CX31" s="24"/>
      <c r="CY31" s="97"/>
      <c r="CZ31" s="97"/>
      <c r="DA31" s="24"/>
      <c r="DB31" s="24"/>
      <c r="DC31" s="24"/>
      <c r="DD31" s="24"/>
      <c r="DE31" s="24"/>
      <c r="DF31" s="24"/>
      <c r="DG31" s="24"/>
      <c r="DH31" s="97"/>
      <c r="DI31" s="97"/>
      <c r="DL31" s="24"/>
      <c r="DM31" s="24"/>
      <c r="DN31" s="24"/>
      <c r="DO31" s="24"/>
      <c r="DP31" s="24"/>
      <c r="DQ31" s="14"/>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row>
    <row r="32" spans="2:158" ht="16.5" x14ac:dyDescent="0.35">
      <c r="B32" s="64"/>
      <c r="C32" s="282"/>
      <c r="D32" s="24">
        <v>10300701</v>
      </c>
      <c r="E32" s="341" t="s">
        <v>99</v>
      </c>
      <c r="F32" s="211" t="s">
        <v>180</v>
      </c>
      <c r="G32" s="207" t="s">
        <v>146</v>
      </c>
      <c r="H32" s="548" t="s">
        <v>455</v>
      </c>
      <c r="I32" s="217" t="s">
        <v>78</v>
      </c>
      <c r="J32" s="213" t="s">
        <v>78</v>
      </c>
      <c r="K32" s="214" t="s">
        <v>78</v>
      </c>
      <c r="L32" s="344" t="s">
        <v>78</v>
      </c>
      <c r="M32" s="345" t="s">
        <v>78</v>
      </c>
      <c r="N32" s="208" t="s">
        <v>78</v>
      </c>
      <c r="O32" s="192" t="s">
        <v>78</v>
      </c>
      <c r="P32" s="344" t="s">
        <v>78</v>
      </c>
      <c r="Q32" s="444" t="s">
        <v>78</v>
      </c>
      <c r="R32" s="208" t="s">
        <v>78</v>
      </c>
      <c r="S32" s="208" t="s">
        <v>78</v>
      </c>
      <c r="T32" s="208" t="s">
        <v>78</v>
      </c>
      <c r="U32" s="208" t="s">
        <v>78</v>
      </c>
      <c r="V32" s="344" t="s">
        <v>78</v>
      </c>
      <c r="W32" s="208" t="s">
        <v>78</v>
      </c>
      <c r="X32" s="344" t="s">
        <v>78</v>
      </c>
      <c r="Y32" s="345" t="s">
        <v>78</v>
      </c>
      <c r="Z32" s="208" t="s">
        <v>78</v>
      </c>
      <c r="AA32" s="208" t="s">
        <v>78</v>
      </c>
      <c r="AB32" s="208" t="s">
        <v>78</v>
      </c>
      <c r="AC32" s="218" t="s">
        <v>78</v>
      </c>
      <c r="AD32" s="213" t="s">
        <v>78</v>
      </c>
      <c r="AE32" s="213" t="s">
        <v>78</v>
      </c>
      <c r="AF32" s="208">
        <v>8.9999999999999998E-4</v>
      </c>
      <c r="AG32" s="213" t="s">
        <v>78</v>
      </c>
      <c r="AH32" s="208">
        <v>8.0000000000000004E-4</v>
      </c>
      <c r="AI32" s="214" t="s">
        <v>78</v>
      </c>
      <c r="AJ32" s="208">
        <v>3.2</v>
      </c>
      <c r="AK32" s="213" t="s">
        <v>78</v>
      </c>
      <c r="AL32" s="214" t="s">
        <v>78</v>
      </c>
      <c r="AM32" s="208">
        <v>1.6999999999999999E-3</v>
      </c>
      <c r="AN32" s="214" t="s">
        <v>78</v>
      </c>
      <c r="AO32" s="214" t="s">
        <v>78</v>
      </c>
      <c r="AP32" s="213" t="s">
        <v>78</v>
      </c>
      <c r="AQ32" s="213" t="s">
        <v>78</v>
      </c>
      <c r="AR32" s="214" t="s">
        <v>78</v>
      </c>
      <c r="AS32" s="214" t="s">
        <v>78</v>
      </c>
      <c r="AT32" s="214" t="s">
        <v>78</v>
      </c>
      <c r="AU32" s="214" t="s">
        <v>78</v>
      </c>
      <c r="AV32" s="214" t="s">
        <v>78</v>
      </c>
      <c r="AW32" s="214" t="s">
        <v>78</v>
      </c>
      <c r="AX32" s="208" t="s">
        <v>78</v>
      </c>
      <c r="AY32" s="208" t="s">
        <v>78</v>
      </c>
      <c r="AZ32" s="213" t="s">
        <v>78</v>
      </c>
      <c r="BA32" s="208" t="s">
        <v>78</v>
      </c>
      <c r="BB32" s="208" t="s">
        <v>78</v>
      </c>
      <c r="BC32" s="344" t="s">
        <v>78</v>
      </c>
      <c r="BD32" s="344" t="s">
        <v>78</v>
      </c>
      <c r="BE32" s="208" t="s">
        <v>78</v>
      </c>
      <c r="BF32" s="208" t="s">
        <v>78</v>
      </c>
      <c r="BG32" s="215">
        <v>2E-3</v>
      </c>
      <c r="BH32" s="214" t="s">
        <v>78</v>
      </c>
      <c r="BI32" s="214" t="s">
        <v>78</v>
      </c>
      <c r="BJ32" s="208" t="s">
        <v>78</v>
      </c>
      <c r="BK32" s="344" t="s">
        <v>78</v>
      </c>
      <c r="BL32" s="344" t="s">
        <v>78</v>
      </c>
      <c r="BM32" s="208">
        <v>3.5999999999999999E-3</v>
      </c>
      <c r="BN32" s="208" t="s">
        <v>78</v>
      </c>
      <c r="BO32" s="208" t="s">
        <v>78</v>
      </c>
      <c r="BP32" s="208" t="s">
        <v>78</v>
      </c>
      <c r="BQ32" s="208" t="s">
        <v>78</v>
      </c>
      <c r="BR32" s="208" t="s">
        <v>78</v>
      </c>
      <c r="BS32" s="208" t="s">
        <v>78</v>
      </c>
      <c r="BT32" s="208" t="s">
        <v>78</v>
      </c>
      <c r="BU32" s="208" t="s">
        <v>78</v>
      </c>
      <c r="BV32" s="208" t="s">
        <v>78</v>
      </c>
      <c r="BW32" s="208" t="s">
        <v>78</v>
      </c>
      <c r="BX32" s="208">
        <v>1.2999999999999999E-3</v>
      </c>
      <c r="BY32" s="214" t="s">
        <v>78</v>
      </c>
      <c r="BZ32" s="208" t="s">
        <v>78</v>
      </c>
      <c r="CA32" s="208" t="s">
        <v>78</v>
      </c>
      <c r="CB32" s="208" t="s">
        <v>78</v>
      </c>
      <c r="CC32" s="208" t="s">
        <v>78</v>
      </c>
      <c r="CD32" s="214" t="s">
        <v>78</v>
      </c>
      <c r="CE32" s="213" t="s">
        <v>78</v>
      </c>
      <c r="CF32" s="208" t="s">
        <v>78</v>
      </c>
      <c r="CG32" s="214" t="s">
        <v>78</v>
      </c>
      <c r="CH32" s="214" t="s">
        <v>78</v>
      </c>
      <c r="CI32" s="208" t="s">
        <v>78</v>
      </c>
      <c r="CJ32" s="344" t="s">
        <v>78</v>
      </c>
      <c r="CK32" s="208">
        <v>2.9999999999999997E-4</v>
      </c>
      <c r="CL32" s="208" t="s">
        <v>78</v>
      </c>
      <c r="CM32" s="208" t="s">
        <v>78</v>
      </c>
      <c r="CN32" s="208">
        <v>1E-4</v>
      </c>
      <c r="CO32" s="208" t="s">
        <v>78</v>
      </c>
      <c r="CP32" s="208" t="s">
        <v>78</v>
      </c>
      <c r="CQ32" s="208" t="s">
        <v>78</v>
      </c>
      <c r="CR32" s="214" t="s">
        <v>78</v>
      </c>
      <c r="CS32" s="344" t="s">
        <v>78</v>
      </c>
      <c r="CT32" s="344" t="s">
        <v>78</v>
      </c>
      <c r="CU32" s="338" t="s">
        <v>78</v>
      </c>
      <c r="CV32" s="344" t="s">
        <v>78</v>
      </c>
      <c r="CW32" s="214" t="s">
        <v>78</v>
      </c>
      <c r="CX32" s="208" t="s">
        <v>78</v>
      </c>
      <c r="CY32" s="344" t="s">
        <v>78</v>
      </c>
      <c r="CZ32" s="344" t="s">
        <v>78</v>
      </c>
      <c r="DA32" s="208" t="s">
        <v>78</v>
      </c>
      <c r="DB32" s="208" t="s">
        <v>78</v>
      </c>
      <c r="DC32" s="208" t="s">
        <v>78</v>
      </c>
      <c r="DD32" s="208" t="s">
        <v>78</v>
      </c>
      <c r="DE32" s="208">
        <v>7.7999999999999996E-3</v>
      </c>
      <c r="DF32" s="214" t="s">
        <v>78</v>
      </c>
      <c r="DG32" s="208" t="s">
        <v>78</v>
      </c>
      <c r="DH32" s="344" t="s">
        <v>78</v>
      </c>
      <c r="DI32" s="344" t="s">
        <v>78</v>
      </c>
      <c r="DJ32" s="208" t="s">
        <v>78</v>
      </c>
      <c r="DK32" s="208" t="s">
        <v>78</v>
      </c>
      <c r="DL32" s="208" t="s">
        <v>78</v>
      </c>
      <c r="DM32" s="208" t="s">
        <v>78</v>
      </c>
      <c r="DN32" s="208">
        <v>5.7999999999999996E-3</v>
      </c>
      <c r="DO32" s="214" t="s">
        <v>78</v>
      </c>
      <c r="DP32" s="208" t="s">
        <v>78</v>
      </c>
      <c r="DQ32" s="14"/>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row>
    <row r="33" spans="2:158" ht="16.5" x14ac:dyDescent="0.35">
      <c r="B33" s="64"/>
      <c r="C33" s="282"/>
      <c r="D33" s="24">
        <v>10300701</v>
      </c>
      <c r="E33" s="341" t="s">
        <v>101</v>
      </c>
      <c r="F33" s="211" t="s">
        <v>180</v>
      </c>
      <c r="G33" s="207" t="s">
        <v>146</v>
      </c>
      <c r="H33" s="548" t="s">
        <v>455</v>
      </c>
      <c r="I33" s="217" t="s">
        <v>78</v>
      </c>
      <c r="J33" s="213" t="s">
        <v>78</v>
      </c>
      <c r="K33" s="214" t="s">
        <v>78</v>
      </c>
      <c r="L33" s="344" t="s">
        <v>78</v>
      </c>
      <c r="M33" s="345" t="s">
        <v>78</v>
      </c>
      <c r="N33" s="208" t="s">
        <v>78</v>
      </c>
      <c r="O33" s="192" t="s">
        <v>78</v>
      </c>
      <c r="P33" s="344" t="s">
        <v>78</v>
      </c>
      <c r="Q33" s="444" t="s">
        <v>78</v>
      </c>
      <c r="R33" s="208" t="s">
        <v>78</v>
      </c>
      <c r="S33" s="208" t="s">
        <v>78</v>
      </c>
      <c r="T33" s="208" t="s">
        <v>78</v>
      </c>
      <c r="U33" s="208" t="s">
        <v>78</v>
      </c>
      <c r="V33" s="344" t="s">
        <v>78</v>
      </c>
      <c r="W33" s="208" t="s">
        <v>78</v>
      </c>
      <c r="X33" s="344" t="s">
        <v>78</v>
      </c>
      <c r="Y33" s="345" t="s">
        <v>78</v>
      </c>
      <c r="Z33" s="208" t="s">
        <v>78</v>
      </c>
      <c r="AA33" s="208" t="s">
        <v>78</v>
      </c>
      <c r="AB33" s="208" t="s">
        <v>78</v>
      </c>
      <c r="AC33" s="218" t="s">
        <v>78</v>
      </c>
      <c r="AD33" s="213" t="s">
        <v>78</v>
      </c>
      <c r="AE33" s="213" t="s">
        <v>78</v>
      </c>
      <c r="AF33" s="208">
        <v>3.0999999999999999E-3</v>
      </c>
      <c r="AG33" s="213" t="s">
        <v>78</v>
      </c>
      <c r="AH33" s="208">
        <v>2.7000000000000001E-3</v>
      </c>
      <c r="AI33" s="214" t="s">
        <v>78</v>
      </c>
      <c r="AJ33" s="208">
        <v>3.2</v>
      </c>
      <c r="AK33" s="213" t="s">
        <v>78</v>
      </c>
      <c r="AL33" s="214" t="s">
        <v>78</v>
      </c>
      <c r="AM33" s="208">
        <v>5.7999999999999996E-3</v>
      </c>
      <c r="AN33" s="214" t="s">
        <v>78</v>
      </c>
      <c r="AO33" s="214" t="s">
        <v>78</v>
      </c>
      <c r="AP33" s="213" t="s">
        <v>78</v>
      </c>
      <c r="AQ33" s="213" t="s">
        <v>78</v>
      </c>
      <c r="AR33" s="214" t="s">
        <v>78</v>
      </c>
      <c r="AS33" s="214" t="s">
        <v>78</v>
      </c>
      <c r="AT33" s="214" t="s">
        <v>78</v>
      </c>
      <c r="AU33" s="214" t="s">
        <v>78</v>
      </c>
      <c r="AV33" s="214" t="s">
        <v>78</v>
      </c>
      <c r="AW33" s="214" t="s">
        <v>78</v>
      </c>
      <c r="AX33" s="208" t="s">
        <v>78</v>
      </c>
      <c r="AY33" s="208" t="s">
        <v>78</v>
      </c>
      <c r="AZ33" s="213" t="s">
        <v>78</v>
      </c>
      <c r="BA33" s="208" t="s">
        <v>78</v>
      </c>
      <c r="BB33" s="208" t="s">
        <v>78</v>
      </c>
      <c r="BC33" s="344" t="s">
        <v>78</v>
      </c>
      <c r="BD33" s="344" t="s">
        <v>78</v>
      </c>
      <c r="BE33" s="208" t="s">
        <v>78</v>
      </c>
      <c r="BF33" s="208" t="s">
        <v>78</v>
      </c>
      <c r="BG33" s="208">
        <v>6.8999999999999999E-3</v>
      </c>
      <c r="BH33" s="214" t="s">
        <v>78</v>
      </c>
      <c r="BI33" s="214" t="s">
        <v>78</v>
      </c>
      <c r="BJ33" s="208" t="s">
        <v>78</v>
      </c>
      <c r="BK33" s="344" t="s">
        <v>78</v>
      </c>
      <c r="BL33" s="344" t="s">
        <v>78</v>
      </c>
      <c r="BM33" s="208">
        <v>1.23E-2</v>
      </c>
      <c r="BN33" s="208" t="s">
        <v>78</v>
      </c>
      <c r="BO33" s="208" t="s">
        <v>78</v>
      </c>
      <c r="BP33" s="208" t="s">
        <v>78</v>
      </c>
      <c r="BQ33" s="208" t="s">
        <v>78</v>
      </c>
      <c r="BR33" s="208" t="s">
        <v>78</v>
      </c>
      <c r="BS33" s="208" t="s">
        <v>78</v>
      </c>
      <c r="BT33" s="208" t="s">
        <v>78</v>
      </c>
      <c r="BU33" s="208" t="s">
        <v>78</v>
      </c>
      <c r="BV33" s="208" t="s">
        <v>78</v>
      </c>
      <c r="BW33" s="208" t="s">
        <v>78</v>
      </c>
      <c r="BX33" s="208">
        <v>4.5999999999999999E-3</v>
      </c>
      <c r="BY33" s="214" t="s">
        <v>78</v>
      </c>
      <c r="BZ33" s="208" t="s">
        <v>78</v>
      </c>
      <c r="CA33" s="208" t="s">
        <v>78</v>
      </c>
      <c r="CB33" s="208" t="s">
        <v>78</v>
      </c>
      <c r="CC33" s="208" t="s">
        <v>78</v>
      </c>
      <c r="CD33" s="214" t="s">
        <v>78</v>
      </c>
      <c r="CE33" s="213" t="s">
        <v>78</v>
      </c>
      <c r="CF33" s="208" t="s">
        <v>78</v>
      </c>
      <c r="CG33" s="214" t="s">
        <v>78</v>
      </c>
      <c r="CH33" s="214" t="s">
        <v>78</v>
      </c>
      <c r="CI33" s="208" t="s">
        <v>78</v>
      </c>
      <c r="CJ33" s="344" t="s">
        <v>78</v>
      </c>
      <c r="CK33" s="208">
        <v>2.9999999999999997E-4</v>
      </c>
      <c r="CL33" s="208" t="s">
        <v>78</v>
      </c>
      <c r="CM33" s="208" t="s">
        <v>78</v>
      </c>
      <c r="CN33" s="208">
        <v>1E-4</v>
      </c>
      <c r="CO33" s="208" t="s">
        <v>78</v>
      </c>
      <c r="CP33" s="208" t="s">
        <v>78</v>
      </c>
      <c r="CQ33" s="208" t="s">
        <v>78</v>
      </c>
      <c r="CR33" s="214" t="s">
        <v>78</v>
      </c>
      <c r="CS33" s="344" t="s">
        <v>78</v>
      </c>
      <c r="CT33" s="344" t="s">
        <v>78</v>
      </c>
      <c r="CU33" s="338" t="s">
        <v>78</v>
      </c>
      <c r="CV33" s="344" t="s">
        <v>78</v>
      </c>
      <c r="CW33" s="214" t="s">
        <v>78</v>
      </c>
      <c r="CX33" s="208" t="s">
        <v>78</v>
      </c>
      <c r="CY33" s="344" t="s">
        <v>78</v>
      </c>
      <c r="CZ33" s="344" t="s">
        <v>78</v>
      </c>
      <c r="DA33" s="208" t="s">
        <v>78</v>
      </c>
      <c r="DB33" s="208" t="s">
        <v>78</v>
      </c>
      <c r="DC33" s="208" t="s">
        <v>78</v>
      </c>
      <c r="DD33" s="208" t="s">
        <v>78</v>
      </c>
      <c r="DE33" s="208">
        <v>2.6499999999999999E-2</v>
      </c>
      <c r="DF33" s="214" t="s">
        <v>78</v>
      </c>
      <c r="DG33" s="208" t="s">
        <v>78</v>
      </c>
      <c r="DH33" s="344" t="s">
        <v>78</v>
      </c>
      <c r="DI33" s="344" t="s">
        <v>78</v>
      </c>
      <c r="DJ33" s="208" t="s">
        <v>78</v>
      </c>
      <c r="DK33" s="208" t="s">
        <v>78</v>
      </c>
      <c r="DL33" s="208" t="s">
        <v>78</v>
      </c>
      <c r="DM33" s="208" t="s">
        <v>78</v>
      </c>
      <c r="DN33" s="208">
        <v>1.9699999999999999E-2</v>
      </c>
      <c r="DO33" s="214" t="s">
        <v>78</v>
      </c>
      <c r="DP33" s="208" t="s">
        <v>78</v>
      </c>
      <c r="DQ33" s="14"/>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row>
    <row r="34" spans="2:158" ht="16.5" x14ac:dyDescent="0.35">
      <c r="B34" s="64"/>
      <c r="C34" s="282"/>
      <c r="D34" s="24">
        <v>10300701</v>
      </c>
      <c r="E34" s="341" t="s">
        <v>87</v>
      </c>
      <c r="F34" s="211" t="s">
        <v>180</v>
      </c>
      <c r="G34" s="207" t="s">
        <v>146</v>
      </c>
      <c r="H34" s="548" t="s">
        <v>455</v>
      </c>
      <c r="I34" s="217" t="s">
        <v>78</v>
      </c>
      <c r="J34" s="213" t="s">
        <v>78</v>
      </c>
      <c r="K34" s="214" t="s">
        <v>78</v>
      </c>
      <c r="L34" s="344" t="s">
        <v>78</v>
      </c>
      <c r="M34" s="345" t="s">
        <v>78</v>
      </c>
      <c r="N34" s="208" t="s">
        <v>78</v>
      </c>
      <c r="O34" s="192" t="s">
        <v>78</v>
      </c>
      <c r="P34" s="344" t="s">
        <v>78</v>
      </c>
      <c r="Q34" s="444" t="s">
        <v>78</v>
      </c>
      <c r="R34" s="208" t="s">
        <v>78</v>
      </c>
      <c r="S34" s="208" t="s">
        <v>78</v>
      </c>
      <c r="T34" s="208" t="s">
        <v>78</v>
      </c>
      <c r="U34" s="208" t="s">
        <v>78</v>
      </c>
      <c r="V34" s="344" t="s">
        <v>78</v>
      </c>
      <c r="W34" s="208" t="s">
        <v>78</v>
      </c>
      <c r="X34" s="344" t="s">
        <v>78</v>
      </c>
      <c r="Y34" s="345" t="s">
        <v>78</v>
      </c>
      <c r="Z34" s="208" t="s">
        <v>78</v>
      </c>
      <c r="AA34" s="208" t="s">
        <v>78</v>
      </c>
      <c r="AB34" s="208" t="s">
        <v>78</v>
      </c>
      <c r="AC34" s="218" t="s">
        <v>78</v>
      </c>
      <c r="AD34" s="213" t="s">
        <v>78</v>
      </c>
      <c r="AE34" s="213" t="s">
        <v>78</v>
      </c>
      <c r="AF34" s="208">
        <v>4.3E-3</v>
      </c>
      <c r="AG34" s="213" t="s">
        <v>78</v>
      </c>
      <c r="AH34" s="208">
        <v>2.7000000000000001E-3</v>
      </c>
      <c r="AI34" s="214" t="s">
        <v>78</v>
      </c>
      <c r="AJ34" s="208">
        <v>3.2</v>
      </c>
      <c r="AK34" s="213" t="s">
        <v>78</v>
      </c>
      <c r="AL34" s="214" t="s">
        <v>78</v>
      </c>
      <c r="AM34" s="215">
        <v>8.0000000000000002E-3</v>
      </c>
      <c r="AN34" s="214" t="s">
        <v>78</v>
      </c>
      <c r="AO34" s="214" t="s">
        <v>78</v>
      </c>
      <c r="AP34" s="213" t="s">
        <v>78</v>
      </c>
      <c r="AQ34" s="213" t="s">
        <v>78</v>
      </c>
      <c r="AR34" s="214" t="s">
        <v>78</v>
      </c>
      <c r="AS34" s="214" t="s">
        <v>78</v>
      </c>
      <c r="AT34" s="214" t="s">
        <v>78</v>
      </c>
      <c r="AU34" s="214" t="s">
        <v>78</v>
      </c>
      <c r="AV34" s="214" t="s">
        <v>78</v>
      </c>
      <c r="AW34" s="214" t="s">
        <v>78</v>
      </c>
      <c r="AX34" s="208" t="s">
        <v>78</v>
      </c>
      <c r="AY34" s="208" t="s">
        <v>78</v>
      </c>
      <c r="AZ34" s="213" t="s">
        <v>78</v>
      </c>
      <c r="BA34" s="208" t="s">
        <v>78</v>
      </c>
      <c r="BB34" s="208" t="s">
        <v>78</v>
      </c>
      <c r="BC34" s="344" t="s">
        <v>78</v>
      </c>
      <c r="BD34" s="344" t="s">
        <v>78</v>
      </c>
      <c r="BE34" s="208" t="s">
        <v>78</v>
      </c>
      <c r="BF34" s="208" t="s">
        <v>78</v>
      </c>
      <c r="BG34" s="208">
        <v>9.4999999999999998E-3</v>
      </c>
      <c r="BH34" s="214" t="s">
        <v>78</v>
      </c>
      <c r="BI34" s="214" t="s">
        <v>78</v>
      </c>
      <c r="BJ34" s="208" t="s">
        <v>78</v>
      </c>
      <c r="BK34" s="344" t="s">
        <v>78</v>
      </c>
      <c r="BL34" s="344" t="s">
        <v>78</v>
      </c>
      <c r="BM34" s="215">
        <v>1.7000000000000001E-2</v>
      </c>
      <c r="BN34" s="208" t="s">
        <v>78</v>
      </c>
      <c r="BO34" s="208" t="s">
        <v>78</v>
      </c>
      <c r="BP34" s="208" t="s">
        <v>78</v>
      </c>
      <c r="BQ34" s="208" t="s">
        <v>78</v>
      </c>
      <c r="BR34" s="208" t="s">
        <v>78</v>
      </c>
      <c r="BS34" s="208" t="s">
        <v>78</v>
      </c>
      <c r="BT34" s="208" t="s">
        <v>78</v>
      </c>
      <c r="BU34" s="208" t="s">
        <v>78</v>
      </c>
      <c r="BV34" s="208" t="s">
        <v>78</v>
      </c>
      <c r="BW34" s="208" t="s">
        <v>78</v>
      </c>
      <c r="BX34" s="208">
        <v>6.3E-3</v>
      </c>
      <c r="BY34" s="214" t="s">
        <v>78</v>
      </c>
      <c r="BZ34" s="208" t="s">
        <v>78</v>
      </c>
      <c r="CA34" s="208" t="s">
        <v>78</v>
      </c>
      <c r="CB34" s="208" t="s">
        <v>78</v>
      </c>
      <c r="CC34" s="208" t="s">
        <v>78</v>
      </c>
      <c r="CD34" s="214" t="s">
        <v>78</v>
      </c>
      <c r="CE34" s="213" t="s">
        <v>78</v>
      </c>
      <c r="CF34" s="208" t="s">
        <v>78</v>
      </c>
      <c r="CG34" s="214" t="s">
        <v>78</v>
      </c>
      <c r="CH34" s="214" t="s">
        <v>78</v>
      </c>
      <c r="CI34" s="208" t="s">
        <v>78</v>
      </c>
      <c r="CJ34" s="344" t="s">
        <v>78</v>
      </c>
      <c r="CK34" s="208">
        <v>2.9999999999999997E-4</v>
      </c>
      <c r="CL34" s="208" t="s">
        <v>78</v>
      </c>
      <c r="CM34" s="208" t="s">
        <v>78</v>
      </c>
      <c r="CN34" s="208">
        <v>1E-4</v>
      </c>
      <c r="CO34" s="208" t="s">
        <v>78</v>
      </c>
      <c r="CP34" s="208" t="s">
        <v>78</v>
      </c>
      <c r="CQ34" s="208" t="s">
        <v>78</v>
      </c>
      <c r="CR34" s="214" t="s">
        <v>78</v>
      </c>
      <c r="CS34" s="344" t="s">
        <v>78</v>
      </c>
      <c r="CT34" s="344" t="s">
        <v>78</v>
      </c>
      <c r="CU34" s="338" t="s">
        <v>78</v>
      </c>
      <c r="CV34" s="344" t="s">
        <v>78</v>
      </c>
      <c r="CW34" s="214" t="s">
        <v>78</v>
      </c>
      <c r="CX34" s="208" t="s">
        <v>78</v>
      </c>
      <c r="CY34" s="344" t="s">
        <v>78</v>
      </c>
      <c r="CZ34" s="344" t="s">
        <v>78</v>
      </c>
      <c r="DA34" s="208" t="s">
        <v>78</v>
      </c>
      <c r="DB34" s="208" t="s">
        <v>78</v>
      </c>
      <c r="DC34" s="208" t="s">
        <v>78</v>
      </c>
      <c r="DD34" s="208" t="s">
        <v>78</v>
      </c>
      <c r="DE34" s="208">
        <v>3.6600000000000001E-2</v>
      </c>
      <c r="DF34" s="214" t="s">
        <v>78</v>
      </c>
      <c r="DG34" s="208" t="s">
        <v>78</v>
      </c>
      <c r="DH34" s="344" t="s">
        <v>78</v>
      </c>
      <c r="DI34" s="344" t="s">
        <v>78</v>
      </c>
      <c r="DJ34" s="208" t="s">
        <v>78</v>
      </c>
      <c r="DK34" s="208" t="s">
        <v>78</v>
      </c>
      <c r="DL34" s="208" t="s">
        <v>78</v>
      </c>
      <c r="DM34" s="208" t="s">
        <v>78</v>
      </c>
      <c r="DN34" s="208">
        <v>2.7199999999999998E-2</v>
      </c>
      <c r="DO34" s="214" t="s">
        <v>78</v>
      </c>
      <c r="DP34" s="208" t="s">
        <v>78</v>
      </c>
      <c r="DQ34" s="14"/>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row>
    <row r="35" spans="2:158" ht="15" thickBot="1" x14ac:dyDescent="0.4">
      <c r="B35" s="65"/>
      <c r="C35" s="283"/>
      <c r="D35" s="3"/>
      <c r="E35" s="4"/>
      <c r="F35" s="210"/>
      <c r="G35" s="21"/>
      <c r="H35" s="527"/>
      <c r="I35" s="152"/>
      <c r="J35" s="70"/>
      <c r="K35" s="49"/>
      <c r="L35" s="81"/>
      <c r="M35" s="259"/>
      <c r="N35" s="49"/>
      <c r="O35" s="58"/>
      <c r="P35" s="81"/>
      <c r="Q35" s="441"/>
      <c r="R35" s="49"/>
      <c r="S35" s="49"/>
      <c r="T35" s="49"/>
      <c r="U35" s="49"/>
      <c r="V35" s="81"/>
      <c r="W35" s="49"/>
      <c r="X35" s="81"/>
      <c r="Y35" s="259"/>
      <c r="Z35" s="49"/>
      <c r="AA35" s="49"/>
      <c r="AB35" s="49"/>
      <c r="AC35" s="82"/>
      <c r="AD35" s="97"/>
      <c r="AE35" s="97"/>
      <c r="AF35" s="24"/>
      <c r="AG35" s="97"/>
      <c r="AH35" s="24"/>
      <c r="AI35" s="24"/>
      <c r="AJ35" s="24"/>
      <c r="AK35" s="97"/>
      <c r="AL35" s="24"/>
      <c r="AM35" s="24"/>
      <c r="AN35" s="24"/>
      <c r="AO35" s="24"/>
      <c r="AP35" s="97"/>
      <c r="AQ35" s="97"/>
      <c r="AR35" s="24"/>
      <c r="AS35" s="24"/>
      <c r="AT35" s="24"/>
      <c r="AU35" s="24"/>
      <c r="AV35" s="24"/>
      <c r="AW35" s="24"/>
      <c r="AX35" s="24"/>
      <c r="AY35" s="24"/>
      <c r="AZ35" s="97"/>
      <c r="BA35" s="24"/>
      <c r="BB35" s="24"/>
      <c r="BC35" s="97"/>
      <c r="BD35" s="97"/>
      <c r="BG35" s="24"/>
      <c r="BH35" s="24"/>
      <c r="BI35" s="24"/>
      <c r="BJ35" s="24"/>
      <c r="BK35" s="97"/>
      <c r="BL35" s="97"/>
      <c r="BM35" s="24"/>
      <c r="BN35" s="24"/>
      <c r="BO35" s="24"/>
      <c r="BP35" s="24"/>
      <c r="BQ35" s="24"/>
      <c r="BR35" s="24"/>
      <c r="BS35" s="24"/>
      <c r="BT35" s="24"/>
      <c r="BU35" s="24"/>
      <c r="BV35" s="24"/>
      <c r="BW35" s="24"/>
      <c r="BX35" s="24"/>
      <c r="BY35" s="24"/>
      <c r="BZ35" s="24"/>
      <c r="CA35" s="24"/>
      <c r="CB35" s="24"/>
      <c r="CC35" s="24"/>
      <c r="CD35" s="24"/>
      <c r="CE35" s="97"/>
      <c r="CF35" s="24"/>
      <c r="CG35" s="17"/>
      <c r="CH35" s="17"/>
      <c r="CI35" s="24"/>
      <c r="CJ35" s="97"/>
      <c r="CK35" s="24"/>
      <c r="CL35" s="24"/>
      <c r="CM35" s="24"/>
      <c r="CN35" s="24"/>
      <c r="CO35" s="24"/>
      <c r="CP35" s="24"/>
      <c r="CQ35" s="24"/>
      <c r="CR35" s="24"/>
      <c r="CS35" s="97"/>
      <c r="CT35" s="97"/>
      <c r="CV35" s="97"/>
      <c r="CW35" s="24"/>
      <c r="CX35" s="24"/>
      <c r="CY35" s="97"/>
      <c r="CZ35" s="97"/>
      <c r="DA35" s="24"/>
      <c r="DB35" s="24"/>
      <c r="DC35" s="24"/>
      <c r="DD35" s="24"/>
      <c r="DE35" s="24"/>
      <c r="DF35" s="24"/>
      <c r="DG35" s="24"/>
      <c r="DH35" s="97"/>
      <c r="DI35" s="97"/>
      <c r="DL35" s="24"/>
      <c r="DM35" s="24"/>
      <c r="DN35" s="24"/>
      <c r="DO35" s="24"/>
      <c r="DP35" s="24"/>
      <c r="DQ35" s="14"/>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row>
    <row r="36" spans="2:158" x14ac:dyDescent="0.35">
      <c r="B36" s="117"/>
      <c r="C36" s="280" t="s">
        <v>169</v>
      </c>
      <c r="D36" s="13"/>
      <c r="E36" s="276"/>
      <c r="F36" s="83"/>
      <c r="G36" s="20"/>
      <c r="H36" s="532"/>
      <c r="I36" s="150"/>
      <c r="J36" s="71"/>
      <c r="K36" s="85"/>
      <c r="L36" s="84"/>
      <c r="M36" s="260"/>
      <c r="N36" s="85"/>
      <c r="O36" s="59"/>
      <c r="P36" s="84"/>
      <c r="Q36" s="442"/>
      <c r="R36" s="85"/>
      <c r="S36" s="85"/>
      <c r="T36" s="85"/>
      <c r="U36" s="85"/>
      <c r="V36" s="84"/>
      <c r="W36" s="85"/>
      <c r="X36" s="84"/>
      <c r="Y36" s="260"/>
      <c r="Z36" s="85"/>
      <c r="AA36" s="85"/>
      <c r="AB36" s="85"/>
      <c r="AC36" s="86"/>
      <c r="AD36" s="84"/>
      <c r="AE36" s="84"/>
      <c r="AF36" s="85"/>
      <c r="AG36" s="84"/>
      <c r="AH36" s="85"/>
      <c r="AI36" s="85"/>
      <c r="AJ36" s="85"/>
      <c r="AK36" s="84"/>
      <c r="AL36" s="85"/>
      <c r="AM36" s="85"/>
      <c r="AN36" s="85"/>
      <c r="AO36" s="85"/>
      <c r="AP36" s="84"/>
      <c r="AQ36" s="84"/>
      <c r="AR36" s="85"/>
      <c r="AS36" s="85"/>
      <c r="AT36" s="85"/>
      <c r="AU36" s="85"/>
      <c r="AV36" s="85"/>
      <c r="AW36" s="85"/>
      <c r="AX36" s="85"/>
      <c r="AY36" s="85"/>
      <c r="AZ36" s="84"/>
      <c r="BA36" s="85"/>
      <c r="BB36" s="85"/>
      <c r="BC36" s="84"/>
      <c r="BD36" s="84"/>
      <c r="BE36" s="85"/>
      <c r="BF36" s="85"/>
      <c r="BG36" s="85"/>
      <c r="BH36" s="85"/>
      <c r="BI36" s="85"/>
      <c r="BJ36" s="85"/>
      <c r="BK36" s="84"/>
      <c r="BL36" s="84"/>
      <c r="BM36" s="85"/>
      <c r="BN36" s="85"/>
      <c r="BO36" s="85"/>
      <c r="BP36" s="85"/>
      <c r="BQ36" s="85"/>
      <c r="BR36" s="85"/>
      <c r="BS36" s="85"/>
      <c r="BT36" s="85"/>
      <c r="BU36" s="85"/>
      <c r="BV36" s="85"/>
      <c r="BW36" s="85"/>
      <c r="BX36" s="85"/>
      <c r="BY36" s="85"/>
      <c r="BZ36" s="85"/>
      <c r="CA36" s="85"/>
      <c r="CB36" s="85"/>
      <c r="CC36" s="85"/>
      <c r="CD36" s="85"/>
      <c r="CE36" s="84"/>
      <c r="CF36" s="85"/>
      <c r="CG36" s="57"/>
      <c r="CH36" s="57"/>
      <c r="CI36" s="85"/>
      <c r="CJ36" s="84"/>
      <c r="CK36" s="85"/>
      <c r="CL36" s="85"/>
      <c r="CM36" s="85"/>
      <c r="CN36" s="85"/>
      <c r="CO36" s="85"/>
      <c r="CP36" s="85"/>
      <c r="CQ36" s="85"/>
      <c r="CR36" s="85"/>
      <c r="CS36" s="84"/>
      <c r="CT36" s="84"/>
      <c r="CU36" s="85"/>
      <c r="CV36" s="84"/>
      <c r="CW36" s="85"/>
      <c r="CX36" s="85"/>
      <c r="CY36" s="84"/>
      <c r="CZ36" s="84"/>
      <c r="DA36" s="85"/>
      <c r="DB36" s="85"/>
      <c r="DC36" s="85"/>
      <c r="DD36" s="85"/>
      <c r="DE36" s="85"/>
      <c r="DF36" s="85"/>
      <c r="DG36" s="85"/>
      <c r="DH36" s="84"/>
      <c r="DI36" s="84"/>
      <c r="DJ36" s="85"/>
      <c r="DK36" s="85"/>
      <c r="DL36" s="85"/>
      <c r="DM36" s="85"/>
      <c r="DN36" s="85"/>
      <c r="DO36" s="85"/>
      <c r="DP36" s="85"/>
      <c r="DQ36" s="14"/>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row>
    <row r="37" spans="2:158" x14ac:dyDescent="0.35">
      <c r="B37" s="116"/>
      <c r="C37" s="281"/>
      <c r="D37" s="9"/>
      <c r="E37" s="139" t="s">
        <v>205</v>
      </c>
      <c r="F37" s="210"/>
      <c r="G37" s="21"/>
      <c r="H37" s="527"/>
      <c r="I37" s="154"/>
      <c r="J37" s="96"/>
      <c r="K37" s="24"/>
      <c r="L37" s="97"/>
      <c r="M37" s="343"/>
      <c r="N37" s="24"/>
      <c r="P37" s="97"/>
      <c r="Q37" s="443"/>
      <c r="R37" s="24"/>
      <c r="S37" s="24"/>
      <c r="U37" s="24"/>
      <c r="V37" s="97"/>
      <c r="W37" s="24"/>
      <c r="X37" s="97"/>
      <c r="Y37" s="343"/>
      <c r="Z37" s="24"/>
      <c r="AA37" s="24"/>
      <c r="AB37" s="24"/>
      <c r="AC37" s="113"/>
      <c r="AD37" s="97"/>
      <c r="AE37" s="97"/>
      <c r="AF37" s="24"/>
      <c r="AG37" s="97"/>
      <c r="AH37" s="24"/>
      <c r="AI37" s="24"/>
      <c r="AJ37" s="24"/>
      <c r="AK37" s="97"/>
      <c r="AL37" s="24"/>
      <c r="AM37" s="24"/>
      <c r="AN37" s="24"/>
      <c r="AO37" s="24"/>
      <c r="AP37" s="97"/>
      <c r="AQ37" s="97"/>
      <c r="AR37" s="24"/>
      <c r="AS37" s="24"/>
      <c r="AT37" s="24"/>
      <c r="AU37" s="24"/>
      <c r="AV37" s="24"/>
      <c r="AW37" s="24"/>
      <c r="AX37" s="24"/>
      <c r="AY37" s="24"/>
      <c r="AZ37" s="97"/>
      <c r="BA37" s="24"/>
      <c r="BB37" s="24"/>
      <c r="BC37" s="97"/>
      <c r="BD37" s="97"/>
      <c r="BG37" s="24"/>
      <c r="BH37" s="24"/>
      <c r="BI37" s="24"/>
      <c r="BJ37" s="24"/>
      <c r="BK37" s="97"/>
      <c r="BL37" s="97"/>
      <c r="BM37" s="24"/>
      <c r="BN37" s="24"/>
      <c r="BO37" s="24"/>
      <c r="BP37" s="24"/>
      <c r="BQ37" s="24"/>
      <c r="BR37" s="24"/>
      <c r="BS37" s="24"/>
      <c r="BT37" s="24"/>
      <c r="BU37" s="24"/>
      <c r="BV37" s="24"/>
      <c r="BW37" s="24"/>
      <c r="BX37" s="24"/>
      <c r="BY37" s="24"/>
      <c r="BZ37" s="24"/>
      <c r="CA37" s="24"/>
      <c r="CB37" s="24"/>
      <c r="CC37" s="24"/>
      <c r="CD37" s="24"/>
      <c r="CE37" s="97"/>
      <c r="CF37" s="24"/>
      <c r="CG37" s="17"/>
      <c r="CH37" s="17"/>
      <c r="CI37" s="24"/>
      <c r="CJ37" s="97"/>
      <c r="CK37" s="24"/>
      <c r="CL37" s="24"/>
      <c r="CM37" s="24"/>
      <c r="CN37" s="24"/>
      <c r="CO37" s="24"/>
      <c r="CP37" s="24"/>
      <c r="CQ37" s="24"/>
      <c r="CR37" s="24"/>
      <c r="CS37" s="97"/>
      <c r="CT37" s="97"/>
      <c r="CV37" s="97"/>
      <c r="CW37" s="24"/>
      <c r="CX37" s="24"/>
      <c r="CY37" s="97"/>
      <c r="CZ37" s="97"/>
      <c r="DA37" s="24"/>
      <c r="DB37" s="24"/>
      <c r="DC37" s="24"/>
      <c r="DD37" s="24"/>
      <c r="DE37" s="24"/>
      <c r="DF37" s="24"/>
      <c r="DG37" s="24"/>
      <c r="DH37" s="97"/>
      <c r="DI37" s="97"/>
      <c r="DL37" s="24"/>
      <c r="DM37" s="24"/>
      <c r="DN37" s="24"/>
      <c r="DO37" s="24"/>
      <c r="DP37" s="24"/>
      <c r="DQ37" s="14"/>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row>
    <row r="38" spans="2:158" ht="15" customHeight="1" x14ac:dyDescent="0.35">
      <c r="B38" s="64"/>
      <c r="C38" s="282"/>
      <c r="D38" s="9" t="s">
        <v>336</v>
      </c>
      <c r="E38" s="341" t="s">
        <v>99</v>
      </c>
      <c r="F38" s="54" t="s">
        <v>418</v>
      </c>
      <c r="G38" s="314" t="s">
        <v>146</v>
      </c>
      <c r="H38" s="548" t="s">
        <v>455</v>
      </c>
      <c r="I38" s="151" t="s">
        <v>78</v>
      </c>
      <c r="J38" s="69" t="s">
        <v>78</v>
      </c>
      <c r="K38" s="17">
        <v>2.0000000000000001E-4</v>
      </c>
      <c r="L38" s="69">
        <v>4.4000000000000003E-3</v>
      </c>
      <c r="M38" s="238">
        <v>1.2E-5</v>
      </c>
      <c r="N38" s="17">
        <v>1.1000000000000001E-3</v>
      </c>
      <c r="O38" s="138">
        <f>20%*P38</f>
        <v>2.8000000000000003E-4</v>
      </c>
      <c r="P38" s="69">
        <v>1.4E-3</v>
      </c>
      <c r="Q38" s="439">
        <v>8.3999999999999995E-5</v>
      </c>
      <c r="R38" s="17">
        <v>8.4999999999999995E-4</v>
      </c>
      <c r="S38" s="17">
        <v>5.0000000000000001E-4</v>
      </c>
      <c r="T38" s="17">
        <v>3.8000000000000002E-4</v>
      </c>
      <c r="U38" s="17">
        <v>2.5999999999999998E-4</v>
      </c>
      <c r="V38" s="69">
        <v>1.1000000000000001E-3</v>
      </c>
      <c r="W38" s="17">
        <v>2.0999999999999999E-3</v>
      </c>
      <c r="X38" s="69" t="s">
        <v>78</v>
      </c>
      <c r="Y38" s="238">
        <v>2.4000000000000001E-5</v>
      </c>
      <c r="Z38" s="17" t="s">
        <v>78</v>
      </c>
      <c r="AA38" s="17" t="s">
        <v>78</v>
      </c>
      <c r="AB38" s="17">
        <v>2.3E-3</v>
      </c>
      <c r="AC38" s="77">
        <v>2.9000000000000001E-2</v>
      </c>
      <c r="AD38" s="69" t="s">
        <v>78</v>
      </c>
      <c r="AE38" s="69" t="s">
        <v>78</v>
      </c>
      <c r="AF38" s="17">
        <v>8.9999999999999998E-4</v>
      </c>
      <c r="AG38" s="69" t="s">
        <v>78</v>
      </c>
      <c r="AH38" s="17">
        <v>8.0000000000000004E-4</v>
      </c>
      <c r="AI38" s="17" t="s">
        <v>78</v>
      </c>
      <c r="AJ38" s="17" t="s">
        <v>78</v>
      </c>
      <c r="AK38" s="69" t="s">
        <v>78</v>
      </c>
      <c r="AL38" s="17" t="s">
        <v>78</v>
      </c>
      <c r="AM38" s="17">
        <v>1.6999999999999999E-3</v>
      </c>
      <c r="AN38" s="17" t="s">
        <v>78</v>
      </c>
      <c r="AO38" s="17" t="s">
        <v>78</v>
      </c>
      <c r="AP38" s="69" t="s">
        <v>78</v>
      </c>
      <c r="AQ38" s="69" t="s">
        <v>78</v>
      </c>
      <c r="AR38" s="17" t="s">
        <v>78</v>
      </c>
      <c r="AS38" s="17" t="s">
        <v>78</v>
      </c>
      <c r="AT38" s="17" t="s">
        <v>78</v>
      </c>
      <c r="AU38" s="17" t="s">
        <v>78</v>
      </c>
      <c r="AV38" s="17" t="s">
        <v>78</v>
      </c>
      <c r="AW38" s="17" t="s">
        <v>78</v>
      </c>
      <c r="AX38" s="17" t="s">
        <v>78</v>
      </c>
      <c r="AY38" s="17" t="s">
        <v>78</v>
      </c>
      <c r="AZ38" s="69" t="s">
        <v>78</v>
      </c>
      <c r="BA38" s="17" t="s">
        <v>78</v>
      </c>
      <c r="BB38" s="17" t="s">
        <v>78</v>
      </c>
      <c r="BC38" s="69" t="s">
        <v>78</v>
      </c>
      <c r="BD38" s="69" t="s">
        <v>78</v>
      </c>
      <c r="BE38" s="17" t="s">
        <v>78</v>
      </c>
      <c r="BF38" s="17" t="s">
        <v>78</v>
      </c>
      <c r="BG38" s="60">
        <v>2E-3</v>
      </c>
      <c r="BH38" s="17" t="s">
        <v>78</v>
      </c>
      <c r="BI38" s="17" t="s">
        <v>78</v>
      </c>
      <c r="BJ38" s="17" t="s">
        <v>78</v>
      </c>
      <c r="BK38" s="69" t="s">
        <v>78</v>
      </c>
      <c r="BL38" s="69" t="s">
        <v>78</v>
      </c>
      <c r="BM38" s="17">
        <v>3.5999999999999999E-3</v>
      </c>
      <c r="BN38" s="17" t="s">
        <v>78</v>
      </c>
      <c r="BO38" s="17" t="s">
        <v>78</v>
      </c>
      <c r="BP38" s="17" t="s">
        <v>78</v>
      </c>
      <c r="BQ38" s="17" t="s">
        <v>78</v>
      </c>
      <c r="BR38" s="17" t="s">
        <v>78</v>
      </c>
      <c r="BS38" s="17" t="s">
        <v>78</v>
      </c>
      <c r="BT38" s="17" t="s">
        <v>78</v>
      </c>
      <c r="BU38" s="17" t="s">
        <v>78</v>
      </c>
      <c r="BV38" s="17" t="s">
        <v>78</v>
      </c>
      <c r="BW38" s="17" t="s">
        <v>78</v>
      </c>
      <c r="BX38" s="17">
        <v>1.2999999999999999E-3</v>
      </c>
      <c r="BY38" s="17" t="s">
        <v>78</v>
      </c>
      <c r="BZ38" s="17" t="s">
        <v>78</v>
      </c>
      <c r="CA38" s="17" t="s">
        <v>78</v>
      </c>
      <c r="CB38" s="17" t="s">
        <v>78</v>
      </c>
      <c r="CC38" s="17" t="s">
        <v>78</v>
      </c>
      <c r="CD38" s="17" t="s">
        <v>78</v>
      </c>
      <c r="CE38" s="69" t="s">
        <v>78</v>
      </c>
      <c r="CF38" s="17" t="s">
        <v>78</v>
      </c>
      <c r="CG38" s="17" t="s">
        <v>78</v>
      </c>
      <c r="CH38" s="17" t="s">
        <v>78</v>
      </c>
      <c r="CI38" s="17" t="s">
        <v>78</v>
      </c>
      <c r="CJ38" s="69" t="s">
        <v>78</v>
      </c>
      <c r="CK38" s="17">
        <v>2.9999999999999997E-4</v>
      </c>
      <c r="CL38" s="17" t="s">
        <v>78</v>
      </c>
      <c r="CM38" s="17" t="s">
        <v>78</v>
      </c>
      <c r="CN38" s="17">
        <v>1E-4</v>
      </c>
      <c r="CO38" s="17" t="s">
        <v>78</v>
      </c>
      <c r="CP38" s="17" t="s">
        <v>78</v>
      </c>
      <c r="CQ38" s="17" t="s">
        <v>78</v>
      </c>
      <c r="CR38" s="17" t="s">
        <v>78</v>
      </c>
      <c r="CS38" s="69" t="s">
        <v>78</v>
      </c>
      <c r="CT38" s="69" t="s">
        <v>78</v>
      </c>
      <c r="CU38" s="338" t="s">
        <v>78</v>
      </c>
      <c r="CV38" s="69" t="s">
        <v>78</v>
      </c>
      <c r="CW38" s="17">
        <v>1.553E-2</v>
      </c>
      <c r="CX38" s="17" t="s">
        <v>78</v>
      </c>
      <c r="CY38" s="69" t="s">
        <v>78</v>
      </c>
      <c r="CZ38" s="69" t="s">
        <v>78</v>
      </c>
      <c r="DA38" s="17" t="s">
        <v>78</v>
      </c>
      <c r="DB38" s="17" t="s">
        <v>78</v>
      </c>
      <c r="DC38" s="17" t="s">
        <v>78</v>
      </c>
      <c r="DD38" s="17" t="s">
        <v>78</v>
      </c>
      <c r="DE38" s="17">
        <v>7.7999999999999996E-3</v>
      </c>
      <c r="DF38" s="17" t="s">
        <v>78</v>
      </c>
      <c r="DG38" s="17" t="s">
        <v>78</v>
      </c>
      <c r="DH38" s="69" t="s">
        <v>78</v>
      </c>
      <c r="DI38" s="69" t="s">
        <v>78</v>
      </c>
      <c r="DJ38" s="17" t="s">
        <v>78</v>
      </c>
      <c r="DK38" s="17" t="s">
        <v>78</v>
      </c>
      <c r="DL38" s="17" t="s">
        <v>78</v>
      </c>
      <c r="DM38" s="17" t="s">
        <v>78</v>
      </c>
      <c r="DN38" s="17">
        <v>5.7999999999999996E-3</v>
      </c>
      <c r="DO38" s="17" t="s">
        <v>78</v>
      </c>
      <c r="DP38" s="17" t="s">
        <v>78</v>
      </c>
      <c r="DQ38" s="14"/>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row>
    <row r="39" spans="2:158" ht="15.75" customHeight="1" x14ac:dyDescent="0.35">
      <c r="B39" s="64"/>
      <c r="C39" s="282"/>
      <c r="D39" s="9" t="s">
        <v>336</v>
      </c>
      <c r="E39" s="341" t="s">
        <v>101</v>
      </c>
      <c r="F39" s="54" t="s">
        <v>418</v>
      </c>
      <c r="G39" s="314" t="s">
        <v>146</v>
      </c>
      <c r="H39" s="548" t="s">
        <v>455</v>
      </c>
      <c r="I39" s="151" t="s">
        <v>78</v>
      </c>
      <c r="J39" s="69" t="s">
        <v>78</v>
      </c>
      <c r="K39" s="17">
        <v>2.0000000000000001E-4</v>
      </c>
      <c r="L39" s="69">
        <v>4.4000000000000003E-3</v>
      </c>
      <c r="M39" s="238">
        <v>1.2E-5</v>
      </c>
      <c r="N39" s="17">
        <v>1.1000000000000001E-3</v>
      </c>
      <c r="O39" s="138">
        <f t="shared" ref="O39:O40" si="7">20%*P39</f>
        <v>2.8000000000000003E-4</v>
      </c>
      <c r="P39" s="69">
        <v>1.4E-3</v>
      </c>
      <c r="Q39" s="439">
        <v>8.3999999999999995E-5</v>
      </c>
      <c r="R39" s="17">
        <v>8.4999999999999995E-4</v>
      </c>
      <c r="S39" s="17">
        <v>5.0000000000000001E-4</v>
      </c>
      <c r="T39" s="17">
        <v>3.8000000000000002E-4</v>
      </c>
      <c r="U39" s="17">
        <v>2.5999999999999998E-4</v>
      </c>
      <c r="V39" s="69">
        <v>1.1000000000000001E-3</v>
      </c>
      <c r="W39" s="17">
        <v>2.0999999999999999E-3</v>
      </c>
      <c r="X39" s="69" t="s">
        <v>78</v>
      </c>
      <c r="Y39" s="238">
        <v>2.4000000000000001E-5</v>
      </c>
      <c r="Z39" s="17" t="s">
        <v>78</v>
      </c>
      <c r="AA39" s="17" t="s">
        <v>78</v>
      </c>
      <c r="AB39" s="17">
        <v>2.3E-3</v>
      </c>
      <c r="AC39" s="77">
        <v>2.9000000000000001E-2</v>
      </c>
      <c r="AD39" s="69" t="s">
        <v>78</v>
      </c>
      <c r="AE39" s="69" t="s">
        <v>78</v>
      </c>
      <c r="AF39" s="17">
        <v>3.0999999999999999E-3</v>
      </c>
      <c r="AG39" s="69" t="s">
        <v>78</v>
      </c>
      <c r="AH39" s="17">
        <v>2.7000000000000001E-3</v>
      </c>
      <c r="AI39" s="17" t="s">
        <v>78</v>
      </c>
      <c r="AJ39" s="17" t="s">
        <v>78</v>
      </c>
      <c r="AK39" s="69" t="s">
        <v>78</v>
      </c>
      <c r="AL39" s="17" t="s">
        <v>78</v>
      </c>
      <c r="AM39" s="17">
        <v>5.7999999999999996E-3</v>
      </c>
      <c r="AN39" s="17" t="s">
        <v>78</v>
      </c>
      <c r="AO39" s="17" t="s">
        <v>78</v>
      </c>
      <c r="AP39" s="69" t="s">
        <v>78</v>
      </c>
      <c r="AQ39" s="69" t="s">
        <v>78</v>
      </c>
      <c r="AR39" s="17" t="s">
        <v>78</v>
      </c>
      <c r="AS39" s="17" t="s">
        <v>78</v>
      </c>
      <c r="AT39" s="17" t="s">
        <v>78</v>
      </c>
      <c r="AU39" s="17" t="s">
        <v>78</v>
      </c>
      <c r="AV39" s="17" t="s">
        <v>78</v>
      </c>
      <c r="AW39" s="17" t="s">
        <v>78</v>
      </c>
      <c r="AX39" s="17" t="s">
        <v>78</v>
      </c>
      <c r="AY39" s="17" t="s">
        <v>78</v>
      </c>
      <c r="AZ39" s="69" t="s">
        <v>78</v>
      </c>
      <c r="BA39" s="17" t="s">
        <v>78</v>
      </c>
      <c r="BB39" s="17" t="s">
        <v>78</v>
      </c>
      <c r="BC39" s="69" t="s">
        <v>78</v>
      </c>
      <c r="BD39" s="69" t="s">
        <v>78</v>
      </c>
      <c r="BE39" s="17" t="s">
        <v>78</v>
      </c>
      <c r="BF39" s="17" t="s">
        <v>78</v>
      </c>
      <c r="BG39" s="17">
        <v>6.8999999999999999E-3</v>
      </c>
      <c r="BH39" s="17" t="s">
        <v>78</v>
      </c>
      <c r="BI39" s="17" t="s">
        <v>78</v>
      </c>
      <c r="BJ39" s="17" t="s">
        <v>78</v>
      </c>
      <c r="BK39" s="69" t="s">
        <v>78</v>
      </c>
      <c r="BL39" s="69" t="s">
        <v>78</v>
      </c>
      <c r="BM39" s="17">
        <v>1.23E-2</v>
      </c>
      <c r="BN39" s="17" t="s">
        <v>78</v>
      </c>
      <c r="BO39" s="17" t="s">
        <v>78</v>
      </c>
      <c r="BP39" s="17" t="s">
        <v>78</v>
      </c>
      <c r="BQ39" s="17" t="s">
        <v>78</v>
      </c>
      <c r="BR39" s="17" t="s">
        <v>78</v>
      </c>
      <c r="BS39" s="17" t="s">
        <v>78</v>
      </c>
      <c r="BT39" s="17" t="s">
        <v>78</v>
      </c>
      <c r="BU39" s="17" t="s">
        <v>78</v>
      </c>
      <c r="BV39" s="17" t="s">
        <v>78</v>
      </c>
      <c r="BW39" s="17" t="s">
        <v>78</v>
      </c>
      <c r="BX39" s="17">
        <v>4.5999999999999999E-3</v>
      </c>
      <c r="BY39" s="17" t="s">
        <v>78</v>
      </c>
      <c r="BZ39" s="17" t="s">
        <v>78</v>
      </c>
      <c r="CA39" s="17" t="s">
        <v>78</v>
      </c>
      <c r="CB39" s="17" t="s">
        <v>78</v>
      </c>
      <c r="CC39" s="17" t="s">
        <v>78</v>
      </c>
      <c r="CD39" s="17" t="s">
        <v>78</v>
      </c>
      <c r="CE39" s="69" t="s">
        <v>78</v>
      </c>
      <c r="CF39" s="17" t="s">
        <v>78</v>
      </c>
      <c r="CG39" s="17" t="s">
        <v>78</v>
      </c>
      <c r="CH39" s="17" t="s">
        <v>78</v>
      </c>
      <c r="CI39" s="17" t="s">
        <v>78</v>
      </c>
      <c r="CJ39" s="69" t="s">
        <v>78</v>
      </c>
      <c r="CK39" s="17">
        <v>2.9999999999999997E-4</v>
      </c>
      <c r="CL39" s="17" t="s">
        <v>78</v>
      </c>
      <c r="CM39" s="17" t="s">
        <v>78</v>
      </c>
      <c r="CN39" s="17">
        <v>1E-4</v>
      </c>
      <c r="CO39" s="17" t="s">
        <v>78</v>
      </c>
      <c r="CP39" s="17" t="s">
        <v>78</v>
      </c>
      <c r="CQ39" s="17" t="s">
        <v>78</v>
      </c>
      <c r="CR39" s="17" t="s">
        <v>78</v>
      </c>
      <c r="CS39" s="69" t="s">
        <v>78</v>
      </c>
      <c r="CT39" s="69" t="s">
        <v>78</v>
      </c>
      <c r="CU39" s="338" t="s">
        <v>78</v>
      </c>
      <c r="CV39" s="69" t="s">
        <v>78</v>
      </c>
      <c r="CW39" s="60">
        <v>0.53</v>
      </c>
      <c r="CX39" s="17" t="s">
        <v>78</v>
      </c>
      <c r="CY39" s="69" t="s">
        <v>78</v>
      </c>
      <c r="CZ39" s="69" t="s">
        <v>78</v>
      </c>
      <c r="DA39" s="17" t="s">
        <v>78</v>
      </c>
      <c r="DB39" s="17" t="s">
        <v>78</v>
      </c>
      <c r="DC39" s="17" t="s">
        <v>78</v>
      </c>
      <c r="DD39" s="17" t="s">
        <v>78</v>
      </c>
      <c r="DE39" s="17">
        <v>2.6499999999999999E-2</v>
      </c>
      <c r="DF39" s="17" t="s">
        <v>78</v>
      </c>
      <c r="DG39" s="17" t="s">
        <v>78</v>
      </c>
      <c r="DH39" s="69" t="s">
        <v>78</v>
      </c>
      <c r="DI39" s="69" t="s">
        <v>78</v>
      </c>
      <c r="DJ39" s="17" t="s">
        <v>78</v>
      </c>
      <c r="DK39" s="17" t="s">
        <v>78</v>
      </c>
      <c r="DL39" s="17" t="s">
        <v>78</v>
      </c>
      <c r="DM39" s="17" t="s">
        <v>78</v>
      </c>
      <c r="DN39" s="17">
        <v>1.9699999999999999E-2</v>
      </c>
      <c r="DO39" s="17" t="s">
        <v>78</v>
      </c>
      <c r="DP39" s="17" t="s">
        <v>78</v>
      </c>
      <c r="DQ39" s="14"/>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row>
    <row r="40" spans="2:158" ht="16.5" x14ac:dyDescent="0.35">
      <c r="B40" s="64"/>
      <c r="C40" s="282"/>
      <c r="D40" s="9" t="s">
        <v>336</v>
      </c>
      <c r="E40" s="341" t="s">
        <v>87</v>
      </c>
      <c r="F40" s="54" t="s">
        <v>418</v>
      </c>
      <c r="G40" s="314" t="s">
        <v>146</v>
      </c>
      <c r="H40" s="548" t="s">
        <v>455</v>
      </c>
      <c r="I40" s="151" t="s">
        <v>78</v>
      </c>
      <c r="J40" s="69" t="s">
        <v>78</v>
      </c>
      <c r="K40" s="17">
        <v>2.0000000000000001E-4</v>
      </c>
      <c r="L40" s="69">
        <v>4.4000000000000003E-3</v>
      </c>
      <c r="M40" s="238">
        <v>1.2E-5</v>
      </c>
      <c r="N40" s="17">
        <v>1.1000000000000001E-3</v>
      </c>
      <c r="O40" s="138">
        <f t="shared" si="7"/>
        <v>2.8000000000000003E-4</v>
      </c>
      <c r="P40" s="69">
        <v>1.4E-3</v>
      </c>
      <c r="Q40" s="439">
        <v>8.3999999999999995E-5</v>
      </c>
      <c r="R40" s="17">
        <v>8.4999999999999995E-4</v>
      </c>
      <c r="S40" s="17">
        <v>5.0000000000000001E-4</v>
      </c>
      <c r="T40" s="17">
        <v>3.8000000000000002E-4</v>
      </c>
      <c r="U40" s="17">
        <v>2.5999999999999998E-4</v>
      </c>
      <c r="V40" s="69">
        <v>1.1000000000000001E-3</v>
      </c>
      <c r="W40" s="17">
        <v>2.0999999999999999E-3</v>
      </c>
      <c r="X40" s="69" t="s">
        <v>78</v>
      </c>
      <c r="Y40" s="238">
        <v>2.4000000000000001E-5</v>
      </c>
      <c r="Z40" s="17" t="s">
        <v>78</v>
      </c>
      <c r="AA40" s="17" t="s">
        <v>78</v>
      </c>
      <c r="AB40" s="17">
        <v>2.3E-3</v>
      </c>
      <c r="AC40" s="77">
        <v>2.9000000000000001E-2</v>
      </c>
      <c r="AD40" s="69" t="s">
        <v>78</v>
      </c>
      <c r="AE40" s="69" t="s">
        <v>78</v>
      </c>
      <c r="AF40" s="24">
        <v>4.3E-3</v>
      </c>
      <c r="AG40" s="69" t="s">
        <v>78</v>
      </c>
      <c r="AH40" s="24">
        <v>2.7000000000000001E-3</v>
      </c>
      <c r="AI40" s="17" t="s">
        <v>78</v>
      </c>
      <c r="AJ40" s="17" t="s">
        <v>78</v>
      </c>
      <c r="AK40" s="69" t="s">
        <v>78</v>
      </c>
      <c r="AL40" s="17" t="s">
        <v>78</v>
      </c>
      <c r="AM40" s="342">
        <v>8.0000000000000002E-3</v>
      </c>
      <c r="AN40" s="17" t="s">
        <v>78</v>
      </c>
      <c r="AO40" s="17" t="s">
        <v>78</v>
      </c>
      <c r="AP40" s="69" t="s">
        <v>78</v>
      </c>
      <c r="AQ40" s="69" t="s">
        <v>78</v>
      </c>
      <c r="AR40" s="17" t="s">
        <v>78</v>
      </c>
      <c r="AS40" s="17" t="s">
        <v>78</v>
      </c>
      <c r="AT40" s="17" t="s">
        <v>78</v>
      </c>
      <c r="AU40" s="17" t="s">
        <v>78</v>
      </c>
      <c r="AV40" s="17" t="s">
        <v>78</v>
      </c>
      <c r="AW40" s="17" t="s">
        <v>78</v>
      </c>
      <c r="AX40" s="17" t="s">
        <v>78</v>
      </c>
      <c r="AY40" s="17" t="s">
        <v>78</v>
      </c>
      <c r="AZ40" s="69" t="s">
        <v>78</v>
      </c>
      <c r="BA40" s="17" t="s">
        <v>78</v>
      </c>
      <c r="BB40" s="17" t="s">
        <v>78</v>
      </c>
      <c r="BC40" s="69" t="s">
        <v>78</v>
      </c>
      <c r="BD40" s="69" t="s">
        <v>78</v>
      </c>
      <c r="BE40" s="17" t="s">
        <v>78</v>
      </c>
      <c r="BF40" s="17" t="s">
        <v>78</v>
      </c>
      <c r="BG40" s="24">
        <v>9.4999999999999998E-3</v>
      </c>
      <c r="BH40" s="17" t="s">
        <v>78</v>
      </c>
      <c r="BI40" s="17" t="s">
        <v>78</v>
      </c>
      <c r="BJ40" s="17" t="s">
        <v>78</v>
      </c>
      <c r="BK40" s="69" t="s">
        <v>78</v>
      </c>
      <c r="BL40" s="69" t="s">
        <v>78</v>
      </c>
      <c r="BM40" s="342">
        <v>1.7000000000000001E-2</v>
      </c>
      <c r="BN40" s="24" t="s">
        <v>78</v>
      </c>
      <c r="BO40" s="24" t="s">
        <v>78</v>
      </c>
      <c r="BP40" s="24" t="s">
        <v>78</v>
      </c>
      <c r="BQ40" s="24" t="s">
        <v>78</v>
      </c>
      <c r="BR40" s="24" t="s">
        <v>78</v>
      </c>
      <c r="BS40" s="24" t="s">
        <v>78</v>
      </c>
      <c r="BT40" s="24" t="s">
        <v>78</v>
      </c>
      <c r="BU40" s="24" t="s">
        <v>78</v>
      </c>
      <c r="BV40" s="24" t="s">
        <v>78</v>
      </c>
      <c r="BW40" s="24" t="s">
        <v>78</v>
      </c>
      <c r="BX40" s="24">
        <v>6.3E-3</v>
      </c>
      <c r="BY40" s="17" t="s">
        <v>78</v>
      </c>
      <c r="BZ40" s="17" t="s">
        <v>78</v>
      </c>
      <c r="CA40" s="17" t="s">
        <v>78</v>
      </c>
      <c r="CB40" s="17" t="s">
        <v>78</v>
      </c>
      <c r="CC40" s="17" t="s">
        <v>78</v>
      </c>
      <c r="CD40" s="17" t="s">
        <v>78</v>
      </c>
      <c r="CE40" s="69" t="s">
        <v>78</v>
      </c>
      <c r="CF40" s="17" t="s">
        <v>78</v>
      </c>
      <c r="CG40" s="17" t="s">
        <v>78</v>
      </c>
      <c r="CH40" s="17" t="s">
        <v>78</v>
      </c>
      <c r="CI40" s="17" t="s">
        <v>78</v>
      </c>
      <c r="CJ40" s="69" t="s">
        <v>78</v>
      </c>
      <c r="CK40" s="17">
        <v>2.9999999999999997E-4</v>
      </c>
      <c r="CL40" s="17" t="s">
        <v>78</v>
      </c>
      <c r="CM40" s="17" t="s">
        <v>78</v>
      </c>
      <c r="CN40" s="17">
        <v>1E-4</v>
      </c>
      <c r="CO40" s="17" t="s">
        <v>78</v>
      </c>
      <c r="CP40" s="17" t="s">
        <v>78</v>
      </c>
      <c r="CQ40" s="17" t="s">
        <v>78</v>
      </c>
      <c r="CR40" s="17" t="s">
        <v>78</v>
      </c>
      <c r="CS40" s="69" t="s">
        <v>78</v>
      </c>
      <c r="CT40" s="69" t="s">
        <v>78</v>
      </c>
      <c r="CU40" s="338" t="s">
        <v>78</v>
      </c>
      <c r="CV40" s="69" t="s">
        <v>78</v>
      </c>
      <c r="CW40" s="60">
        <v>0.73099999999999998</v>
      </c>
      <c r="CX40" s="17" t="s">
        <v>78</v>
      </c>
      <c r="CY40" s="69" t="s">
        <v>78</v>
      </c>
      <c r="CZ40" s="69" t="s">
        <v>78</v>
      </c>
      <c r="DA40" s="17" t="s">
        <v>78</v>
      </c>
      <c r="DB40" s="17" t="s">
        <v>78</v>
      </c>
      <c r="DC40" s="17" t="s">
        <v>78</v>
      </c>
      <c r="DD40" s="17" t="s">
        <v>78</v>
      </c>
      <c r="DE40" s="17">
        <v>3.6600000000000001E-2</v>
      </c>
      <c r="DF40" s="17" t="s">
        <v>78</v>
      </c>
      <c r="DG40" s="17" t="s">
        <v>78</v>
      </c>
      <c r="DH40" s="69" t="s">
        <v>78</v>
      </c>
      <c r="DI40" s="69" t="s">
        <v>78</v>
      </c>
      <c r="DJ40" s="17" t="s">
        <v>78</v>
      </c>
      <c r="DK40" s="17" t="s">
        <v>78</v>
      </c>
      <c r="DL40" s="17" t="s">
        <v>78</v>
      </c>
      <c r="DM40" s="17" t="s">
        <v>78</v>
      </c>
      <c r="DN40" s="17">
        <v>2.7199999999999998E-2</v>
      </c>
      <c r="DO40" s="17" t="s">
        <v>78</v>
      </c>
      <c r="DP40" s="17" t="s">
        <v>78</v>
      </c>
      <c r="DQ40" s="14"/>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row>
    <row r="41" spans="2:158" ht="15" thickBot="1" x14ac:dyDescent="0.4">
      <c r="B41" s="65"/>
      <c r="C41" s="283"/>
      <c r="D41" s="11"/>
      <c r="E41" s="277"/>
      <c r="F41" s="80"/>
      <c r="G41" s="4"/>
      <c r="H41" s="531"/>
      <c r="I41" s="152"/>
      <c r="J41" s="70"/>
      <c r="K41" s="49"/>
      <c r="L41" s="81"/>
      <c r="M41" s="49"/>
      <c r="N41" s="49"/>
      <c r="O41" s="58"/>
      <c r="P41" s="81"/>
      <c r="Q41" s="58"/>
      <c r="R41" s="49"/>
      <c r="S41" s="49"/>
      <c r="T41" s="49"/>
      <c r="U41" s="49"/>
      <c r="V41" s="81"/>
      <c r="W41" s="49"/>
      <c r="X41" s="81"/>
      <c r="Y41" s="49"/>
      <c r="Z41" s="49"/>
      <c r="AA41" s="49"/>
      <c r="AB41" s="49"/>
      <c r="AC41" s="82"/>
      <c r="AD41" s="81"/>
      <c r="AE41" s="81"/>
      <c r="AF41" s="49"/>
      <c r="AG41" s="81"/>
      <c r="AH41" s="49"/>
      <c r="AI41" s="49"/>
      <c r="AJ41" s="49"/>
      <c r="AK41" s="81"/>
      <c r="AL41" s="49"/>
      <c r="AM41" s="49"/>
      <c r="AN41" s="49"/>
      <c r="AO41" s="49"/>
      <c r="AP41" s="81"/>
      <c r="AQ41" s="81"/>
      <c r="AR41" s="49"/>
      <c r="AS41" s="49"/>
      <c r="AT41" s="49"/>
      <c r="AU41" s="49"/>
      <c r="AV41" s="49"/>
      <c r="AW41" s="49"/>
      <c r="AX41" s="49"/>
      <c r="AY41" s="49"/>
      <c r="AZ41" s="81"/>
      <c r="BA41" s="49"/>
      <c r="BB41" s="49"/>
      <c r="BC41" s="81"/>
      <c r="BD41" s="81"/>
      <c r="BE41" s="49"/>
      <c r="BF41" s="49"/>
      <c r="BG41" s="49"/>
      <c r="BH41" s="49"/>
      <c r="BI41" s="49"/>
      <c r="BJ41" s="49"/>
      <c r="BK41" s="81"/>
      <c r="BL41" s="81"/>
      <c r="BM41" s="49"/>
      <c r="BN41" s="49"/>
      <c r="BO41" s="49"/>
      <c r="BP41" s="49"/>
      <c r="BQ41" s="49"/>
      <c r="BR41" s="49"/>
      <c r="BS41" s="49"/>
      <c r="BT41" s="49"/>
      <c r="BU41" s="49"/>
      <c r="BV41" s="49"/>
      <c r="BW41" s="49"/>
      <c r="BX41" s="49"/>
      <c r="BY41" s="49"/>
      <c r="BZ41" s="49"/>
      <c r="CA41" s="49"/>
      <c r="CB41" s="49"/>
      <c r="CC41" s="49"/>
      <c r="CD41" s="49"/>
      <c r="CE41" s="81"/>
      <c r="CF41" s="49"/>
      <c r="CG41" s="49"/>
      <c r="CH41" s="49"/>
      <c r="CI41" s="49"/>
      <c r="CJ41" s="81"/>
      <c r="CK41" s="49"/>
      <c r="CL41" s="49"/>
      <c r="CM41" s="49"/>
      <c r="CN41" s="49"/>
      <c r="CO41" s="49"/>
      <c r="CP41" s="49"/>
      <c r="CQ41" s="49"/>
      <c r="CR41" s="49"/>
      <c r="CS41" s="81"/>
      <c r="CT41" s="81"/>
      <c r="CU41" s="49"/>
      <c r="CV41" s="81"/>
      <c r="CW41" s="49"/>
      <c r="CX41" s="49"/>
      <c r="CY41" s="81"/>
      <c r="CZ41" s="81"/>
      <c r="DA41" s="49"/>
      <c r="DB41" s="49"/>
      <c r="DC41" s="49"/>
      <c r="DD41" s="49"/>
      <c r="DE41" s="49"/>
      <c r="DF41" s="49"/>
      <c r="DG41" s="49"/>
      <c r="DH41" s="81"/>
      <c r="DI41" s="81"/>
      <c r="DJ41" s="49"/>
      <c r="DK41" s="49"/>
      <c r="DL41" s="49"/>
      <c r="DM41" s="49"/>
      <c r="DN41" s="49"/>
      <c r="DO41" s="49"/>
      <c r="DP41" s="49"/>
      <c r="DQ41" s="14"/>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row>
    <row r="42" spans="2:158" x14ac:dyDescent="0.35">
      <c r="B42" s="117"/>
      <c r="C42" s="280" t="s">
        <v>141</v>
      </c>
      <c r="D42" s="13"/>
      <c r="E42" s="276"/>
      <c r="F42" s="83"/>
      <c r="G42" s="20"/>
      <c r="H42" s="532"/>
      <c r="I42" s="150"/>
      <c r="J42" s="71"/>
      <c r="K42" s="85"/>
      <c r="L42" s="84"/>
      <c r="M42" s="85"/>
      <c r="N42" s="85"/>
      <c r="O42" s="59"/>
      <c r="P42" s="84"/>
      <c r="Q42" s="59"/>
      <c r="R42" s="85"/>
      <c r="S42" s="85"/>
      <c r="T42" s="85"/>
      <c r="U42" s="85"/>
      <c r="V42" s="84"/>
      <c r="W42" s="85"/>
      <c r="X42" s="84"/>
      <c r="Y42" s="85"/>
      <c r="Z42" s="85"/>
      <c r="AA42" s="85"/>
      <c r="AB42" s="85"/>
      <c r="AC42" s="86"/>
      <c r="AD42" s="84"/>
      <c r="AE42" s="84"/>
      <c r="AF42" s="85"/>
      <c r="AG42" s="84"/>
      <c r="AH42" s="85"/>
      <c r="AI42" s="85"/>
      <c r="AJ42" s="85"/>
      <c r="AK42" s="84"/>
      <c r="AL42" s="85"/>
      <c r="AM42" s="85"/>
      <c r="AN42" s="85"/>
      <c r="AO42" s="85"/>
      <c r="AP42" s="84"/>
      <c r="AQ42" s="84"/>
      <c r="AR42" s="85"/>
      <c r="AS42" s="85"/>
      <c r="AT42" s="85"/>
      <c r="AU42" s="85"/>
      <c r="AV42" s="85"/>
      <c r="AW42" s="85"/>
      <c r="AX42" s="85"/>
      <c r="AY42" s="85"/>
      <c r="AZ42" s="84"/>
      <c r="BA42" s="85"/>
      <c r="BB42" s="85"/>
      <c r="BC42" s="84"/>
      <c r="BD42" s="84"/>
      <c r="BE42" s="85"/>
      <c r="BF42" s="85"/>
      <c r="BG42" s="85"/>
      <c r="BH42" s="85"/>
      <c r="BI42" s="85"/>
      <c r="BJ42" s="85"/>
      <c r="BK42" s="84"/>
      <c r="BL42" s="84"/>
      <c r="BM42" s="85"/>
      <c r="BN42" s="85"/>
      <c r="BO42" s="85"/>
      <c r="BP42" s="85"/>
      <c r="BQ42" s="85"/>
      <c r="BR42" s="85"/>
      <c r="BS42" s="85"/>
      <c r="BT42" s="85"/>
      <c r="BU42" s="85"/>
      <c r="BV42" s="85"/>
      <c r="BW42" s="85"/>
      <c r="BX42" s="85"/>
      <c r="BY42" s="85"/>
      <c r="BZ42" s="85"/>
      <c r="CA42" s="85"/>
      <c r="CB42" s="85"/>
      <c r="CC42" s="85"/>
      <c r="CD42" s="85"/>
      <c r="CE42" s="84"/>
      <c r="CF42" s="85"/>
      <c r="CG42" s="85"/>
      <c r="CH42" s="85"/>
      <c r="CI42" s="85"/>
      <c r="CJ42" s="84"/>
      <c r="CK42" s="85"/>
      <c r="CL42" s="85"/>
      <c r="CM42" s="85"/>
      <c r="CN42" s="85"/>
      <c r="CO42" s="85"/>
      <c r="CP42" s="85"/>
      <c r="CQ42" s="85"/>
      <c r="CR42" s="85"/>
      <c r="CS42" s="84"/>
      <c r="CT42" s="84"/>
      <c r="CU42" s="85"/>
      <c r="CV42" s="84"/>
      <c r="CW42" s="85"/>
      <c r="CX42" s="85"/>
      <c r="CY42" s="84"/>
      <c r="CZ42" s="84"/>
      <c r="DA42" s="85"/>
      <c r="DB42" s="85"/>
      <c r="DC42" s="85"/>
      <c r="DD42" s="85"/>
      <c r="DE42" s="85"/>
      <c r="DF42" s="85"/>
      <c r="DG42" s="85"/>
      <c r="DH42" s="84"/>
      <c r="DI42" s="84"/>
      <c r="DJ42" s="85"/>
      <c r="DK42" s="85"/>
      <c r="DL42" s="85"/>
      <c r="DM42" s="85"/>
      <c r="DN42" s="85"/>
      <c r="DO42" s="85"/>
      <c r="DP42" s="85"/>
      <c r="DQ42" s="14"/>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row>
    <row r="43" spans="2:158" ht="16.5" x14ac:dyDescent="0.35">
      <c r="B43" s="64"/>
      <c r="C43" s="50"/>
      <c r="D43" s="9" t="s">
        <v>337</v>
      </c>
      <c r="E43" s="139" t="s">
        <v>144</v>
      </c>
      <c r="F43" s="134" t="s">
        <v>399</v>
      </c>
      <c r="G43" s="314" t="s">
        <v>145</v>
      </c>
      <c r="H43" s="548" t="s">
        <v>455</v>
      </c>
      <c r="I43" s="151" t="s">
        <v>78</v>
      </c>
      <c r="J43" s="69" t="s">
        <v>78</v>
      </c>
      <c r="K43" s="17">
        <v>1.6000000000000001E-3</v>
      </c>
      <c r="L43" s="69" t="s">
        <v>78</v>
      </c>
      <c r="M43" s="17" t="s">
        <v>78</v>
      </c>
      <c r="N43" s="17">
        <v>1.5E-3</v>
      </c>
      <c r="O43" s="40">
        <v>1E-4</v>
      </c>
      <c r="P43" s="69">
        <v>5.9999999999999995E-4</v>
      </c>
      <c r="Q43" s="138" t="s">
        <v>78</v>
      </c>
      <c r="R43" s="17">
        <v>4.1000000000000003E-3</v>
      </c>
      <c r="S43" s="17">
        <v>8.3000000000000001E-3</v>
      </c>
      <c r="T43" s="17">
        <v>3.0999999999999999E-3</v>
      </c>
      <c r="U43" s="60">
        <v>2E-3</v>
      </c>
      <c r="V43" s="69" t="s">
        <v>78</v>
      </c>
      <c r="W43" s="17">
        <v>3.8999999999999998E-3</v>
      </c>
      <c r="X43" s="69" t="s">
        <v>78</v>
      </c>
      <c r="Y43" s="17">
        <v>2.2000000000000001E-3</v>
      </c>
      <c r="Z43" s="17" t="s">
        <v>78</v>
      </c>
      <c r="AA43" s="17" t="s">
        <v>78</v>
      </c>
      <c r="AB43" s="17" t="s">
        <v>78</v>
      </c>
      <c r="AC43" s="77">
        <v>2.24E-2</v>
      </c>
      <c r="AD43" s="69" t="s">
        <v>78</v>
      </c>
      <c r="AE43" s="69" t="s">
        <v>78</v>
      </c>
      <c r="AF43" s="17">
        <v>0.35060000000000002</v>
      </c>
      <c r="AG43" s="69" t="s">
        <v>78</v>
      </c>
      <c r="AH43" s="17">
        <v>0.35060000000000002</v>
      </c>
      <c r="AI43" s="17" t="s">
        <v>78</v>
      </c>
      <c r="AJ43" s="17" t="s">
        <v>78</v>
      </c>
      <c r="AK43" s="69" t="s">
        <v>78</v>
      </c>
      <c r="AL43" s="17" t="s">
        <v>78</v>
      </c>
      <c r="AM43" s="17">
        <v>4.4000000000000003E-3</v>
      </c>
      <c r="AN43" s="17" t="s">
        <v>78</v>
      </c>
      <c r="AO43" s="17" t="s">
        <v>78</v>
      </c>
      <c r="AP43" s="69" t="s">
        <v>78</v>
      </c>
      <c r="AQ43" s="69" t="s">
        <v>78</v>
      </c>
      <c r="AR43" s="17" t="s">
        <v>78</v>
      </c>
      <c r="AS43" s="17">
        <v>1.4800000000000001E-2</v>
      </c>
      <c r="AT43" s="17" t="s">
        <v>78</v>
      </c>
      <c r="AU43" s="17" t="s">
        <v>78</v>
      </c>
      <c r="AV43" s="17" t="s">
        <v>78</v>
      </c>
      <c r="AW43" s="17">
        <v>2.0000000000000001E-4</v>
      </c>
      <c r="AX43" s="17" t="s">
        <v>78</v>
      </c>
      <c r="AY43" s="17" t="s">
        <v>78</v>
      </c>
      <c r="AZ43" s="69" t="s">
        <v>78</v>
      </c>
      <c r="BA43" s="17" t="s">
        <v>78</v>
      </c>
      <c r="BB43" s="17" t="s">
        <v>78</v>
      </c>
      <c r="BC43" s="69" t="s">
        <v>78</v>
      </c>
      <c r="BD43" s="69" t="s">
        <v>78</v>
      </c>
      <c r="BE43" s="17" t="s">
        <v>78</v>
      </c>
      <c r="BF43" s="17" t="s">
        <v>78</v>
      </c>
      <c r="BG43" s="17">
        <v>2.0000000000000001E-4</v>
      </c>
      <c r="BH43" s="17" t="s">
        <v>78</v>
      </c>
      <c r="BI43" s="17" t="s">
        <v>78</v>
      </c>
      <c r="BJ43" s="17" t="s">
        <v>78</v>
      </c>
      <c r="BK43" s="69" t="s">
        <v>78</v>
      </c>
      <c r="BL43" s="69" t="s">
        <v>78</v>
      </c>
      <c r="BM43" s="17">
        <v>0.35060000000000002</v>
      </c>
      <c r="BN43" s="17" t="s">
        <v>78</v>
      </c>
      <c r="BO43" s="17" t="s">
        <v>78</v>
      </c>
      <c r="BP43" s="17" t="s">
        <v>78</v>
      </c>
      <c r="BQ43" s="17" t="s">
        <v>78</v>
      </c>
      <c r="BR43" s="17" t="s">
        <v>78</v>
      </c>
      <c r="BS43" s="17" t="s">
        <v>78</v>
      </c>
      <c r="BT43" s="17" t="s">
        <v>78</v>
      </c>
      <c r="BU43" s="17" t="s">
        <v>78</v>
      </c>
      <c r="BV43" s="17" t="s">
        <v>78</v>
      </c>
      <c r="BW43" s="17" t="s">
        <v>78</v>
      </c>
      <c r="BX43" s="17">
        <v>3.5000000000000001E-3</v>
      </c>
      <c r="BY43" s="17">
        <v>0.18629999999999999</v>
      </c>
      <c r="BZ43" s="17" t="s">
        <v>78</v>
      </c>
      <c r="CA43" s="17" t="s">
        <v>78</v>
      </c>
      <c r="CB43" s="17" t="s">
        <v>78</v>
      </c>
      <c r="CC43" s="17" t="s">
        <v>78</v>
      </c>
      <c r="CD43" s="17" t="s">
        <v>78</v>
      </c>
      <c r="CE43" s="69" t="s">
        <v>78</v>
      </c>
      <c r="CF43" s="17" t="s">
        <v>78</v>
      </c>
      <c r="CG43" s="17" t="s">
        <v>78</v>
      </c>
      <c r="CH43" s="17" t="s">
        <v>78</v>
      </c>
      <c r="CI43" s="17" t="s">
        <v>78</v>
      </c>
      <c r="CJ43" s="69" t="s">
        <v>78</v>
      </c>
      <c r="CK43" s="17">
        <v>5.3E-3</v>
      </c>
      <c r="CL43" s="17" t="s">
        <v>78</v>
      </c>
      <c r="CM43" s="17" t="s">
        <v>78</v>
      </c>
      <c r="CN43" s="60">
        <v>4.4499999999999998E-2</v>
      </c>
      <c r="CO43" s="17" t="s">
        <v>78</v>
      </c>
      <c r="CP43" s="17" t="s">
        <v>78</v>
      </c>
      <c r="CQ43" s="17" t="s">
        <v>78</v>
      </c>
      <c r="CR43" s="17" t="s">
        <v>78</v>
      </c>
      <c r="CS43" s="69" t="s">
        <v>78</v>
      </c>
      <c r="CT43" s="69" t="s">
        <v>78</v>
      </c>
      <c r="CU43" s="17" t="s">
        <v>78</v>
      </c>
      <c r="CV43" s="69" t="s">
        <v>78</v>
      </c>
      <c r="CW43" s="60">
        <v>0.01</v>
      </c>
      <c r="CX43" s="17" t="s">
        <v>78</v>
      </c>
      <c r="CY43" s="69" t="s">
        <v>78</v>
      </c>
      <c r="CZ43" s="69" t="s">
        <v>78</v>
      </c>
      <c r="DA43" s="17" t="s">
        <v>78</v>
      </c>
      <c r="DB43" s="17" t="s">
        <v>78</v>
      </c>
      <c r="DC43" s="17" t="s">
        <v>78</v>
      </c>
      <c r="DD43" s="17" t="s">
        <v>78</v>
      </c>
      <c r="DE43" s="17">
        <v>4.4000000000000003E-3</v>
      </c>
      <c r="DF43" s="17" t="s">
        <v>78</v>
      </c>
      <c r="DG43" s="17" t="s">
        <v>78</v>
      </c>
      <c r="DH43" s="69" t="s">
        <v>78</v>
      </c>
      <c r="DI43" s="69" t="s">
        <v>78</v>
      </c>
      <c r="DJ43" s="17" t="s">
        <v>78</v>
      </c>
      <c r="DK43" s="17" t="s">
        <v>78</v>
      </c>
      <c r="DL43" s="17" t="s">
        <v>78</v>
      </c>
      <c r="DM43" s="17" t="s">
        <v>78</v>
      </c>
      <c r="DN43" s="17">
        <v>1.6000000000000001E-3</v>
      </c>
      <c r="DO43" s="17" t="s">
        <v>78</v>
      </c>
      <c r="DP43" s="17" t="s">
        <v>78</v>
      </c>
      <c r="DQ43" s="14"/>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row>
    <row r="44" spans="2:158" ht="15" thickBot="1" x14ac:dyDescent="0.4">
      <c r="B44" s="33"/>
      <c r="C44" s="271"/>
      <c r="D44" s="11"/>
      <c r="E44" s="277"/>
      <c r="F44" s="80"/>
      <c r="G44" s="4"/>
      <c r="H44" s="531"/>
      <c r="I44" s="152"/>
      <c r="J44" s="70"/>
      <c r="K44" s="49"/>
      <c r="L44" s="81"/>
      <c r="M44" s="49"/>
      <c r="N44" s="49"/>
      <c r="O44" s="49"/>
      <c r="P44" s="81"/>
      <c r="Q44" s="58"/>
      <c r="R44" s="49"/>
      <c r="S44" s="49"/>
      <c r="T44" s="49"/>
      <c r="U44" s="49"/>
      <c r="V44" s="81"/>
      <c r="W44" s="49"/>
      <c r="X44" s="81"/>
      <c r="Y44" s="49"/>
      <c r="Z44" s="49"/>
      <c r="AA44" s="49"/>
      <c r="AB44" s="49"/>
      <c r="AC44" s="82"/>
      <c r="AD44" s="81"/>
      <c r="AE44" s="81"/>
      <c r="AF44" s="49"/>
      <c r="AG44" s="81"/>
      <c r="AH44" s="49"/>
      <c r="AI44" s="49"/>
      <c r="AJ44" s="49"/>
      <c r="AK44" s="81"/>
      <c r="AL44" s="49"/>
      <c r="AM44" s="49"/>
      <c r="AN44" s="49"/>
      <c r="AO44" s="49"/>
      <c r="AP44" s="81"/>
      <c r="AQ44" s="81"/>
      <c r="AR44" s="49"/>
      <c r="AS44" s="49"/>
      <c r="AT44" s="49"/>
      <c r="AU44" s="49"/>
      <c r="AV44" s="49"/>
      <c r="AW44" s="49"/>
      <c r="AX44" s="49"/>
      <c r="AY44" s="49"/>
      <c r="AZ44" s="81"/>
      <c r="BA44" s="49"/>
      <c r="BB44" s="49"/>
      <c r="BC44" s="81"/>
      <c r="BD44" s="81"/>
      <c r="BE44" s="49"/>
      <c r="BF44" s="49"/>
      <c r="BG44" s="49"/>
      <c r="BH44" s="49"/>
      <c r="BI44" s="49"/>
      <c r="BJ44" s="49"/>
      <c r="BK44" s="81"/>
      <c r="BL44" s="81"/>
      <c r="BM44" s="49"/>
      <c r="BN44" s="49"/>
      <c r="BO44" s="49"/>
      <c r="BP44" s="49"/>
      <c r="BQ44" s="49"/>
      <c r="BR44" s="49"/>
      <c r="BS44" s="49"/>
      <c r="BT44" s="49"/>
      <c r="BU44" s="49"/>
      <c r="BV44" s="49"/>
      <c r="BW44" s="49"/>
      <c r="BX44" s="49"/>
      <c r="BY44" s="49"/>
      <c r="BZ44" s="49"/>
      <c r="CA44" s="49"/>
      <c r="CB44" s="49"/>
      <c r="CC44" s="49"/>
      <c r="CD44" s="49"/>
      <c r="CE44" s="81"/>
      <c r="CF44" s="49"/>
      <c r="CG44" s="49"/>
      <c r="CH44" s="49"/>
      <c r="CI44" s="49"/>
      <c r="CJ44" s="81"/>
      <c r="CK44" s="49"/>
      <c r="CL44" s="49"/>
      <c r="CM44" s="49"/>
      <c r="CN44" s="49"/>
      <c r="CO44" s="49"/>
      <c r="CP44" s="49"/>
      <c r="CQ44" s="49"/>
      <c r="CR44" s="49"/>
      <c r="CS44" s="81"/>
      <c r="CT44" s="81"/>
      <c r="CU44" s="49"/>
      <c r="CV44" s="81"/>
      <c r="CW44" s="49"/>
      <c r="CX44" s="49"/>
      <c r="CY44" s="81"/>
      <c r="CZ44" s="81"/>
      <c r="DA44" s="49"/>
      <c r="DB44" s="49"/>
      <c r="DC44" s="49"/>
      <c r="DD44" s="49"/>
      <c r="DE44" s="49"/>
      <c r="DF44" s="49"/>
      <c r="DG44" s="49"/>
      <c r="DH44" s="81"/>
      <c r="DI44" s="81"/>
      <c r="DJ44" s="49"/>
      <c r="DK44" s="49"/>
      <c r="DL44" s="49"/>
      <c r="DM44" s="49"/>
      <c r="DN44" s="49"/>
      <c r="DO44" s="49"/>
      <c r="DP44" s="49"/>
      <c r="DQ44" s="14"/>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row>
    <row r="45" spans="2:158" x14ac:dyDescent="0.35">
      <c r="B45" s="27"/>
      <c r="C45" s="27"/>
      <c r="D45" s="9"/>
      <c r="E45" s="9"/>
      <c r="F45" s="24"/>
      <c r="G45" s="8"/>
      <c r="H45" s="8"/>
      <c r="I45" s="8"/>
      <c r="J45" s="8"/>
      <c r="K45" s="24"/>
      <c r="L45" s="24"/>
      <c r="M45" s="24"/>
      <c r="N45" s="24"/>
      <c r="O45" s="24"/>
      <c r="P45" s="24"/>
      <c r="R45" s="24"/>
      <c r="S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V45" s="24"/>
      <c r="CW45" s="24"/>
      <c r="CX45" s="24"/>
      <c r="CY45" s="24"/>
      <c r="CZ45" s="24"/>
      <c r="DA45" s="24"/>
      <c r="DB45" s="24"/>
      <c r="DC45" s="24"/>
      <c r="DD45" s="24"/>
      <c r="DE45" s="24"/>
      <c r="DF45" s="24"/>
      <c r="DG45" s="24"/>
      <c r="DH45" s="24"/>
      <c r="DI45" s="24"/>
      <c r="DL45" s="24"/>
      <c r="DM45" s="24"/>
      <c r="DN45" s="24"/>
      <c r="DO45" s="24"/>
      <c r="DP45" s="24"/>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row>
    <row r="46" spans="2:158" x14ac:dyDescent="0.35">
      <c r="B46" s="346" t="s">
        <v>143</v>
      </c>
      <c r="C46" s="120"/>
      <c r="D46" s="120"/>
      <c r="E46" s="120"/>
      <c r="F46" s="181"/>
      <c r="G46" s="120"/>
      <c r="H46" s="120"/>
      <c r="I46" s="120"/>
      <c r="J46" s="120"/>
      <c r="K46" s="24"/>
      <c r="L46" s="24"/>
      <c r="M46" s="24"/>
      <c r="N46" s="24"/>
      <c r="O46" s="24"/>
      <c r="P46" s="24"/>
      <c r="R46" s="24"/>
      <c r="S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17"/>
      <c r="CH46" s="17"/>
      <c r="CI46" s="24"/>
      <c r="CJ46" s="24"/>
      <c r="CK46" s="24"/>
      <c r="CL46" s="24"/>
      <c r="CM46" s="24"/>
      <c r="CN46" s="24"/>
      <c r="CO46" s="24"/>
      <c r="CP46" s="24"/>
      <c r="CQ46" s="24"/>
      <c r="CR46" s="24"/>
      <c r="CS46" s="24"/>
      <c r="CT46" s="24"/>
      <c r="CV46" s="24"/>
      <c r="CW46" s="24"/>
      <c r="CX46" s="24"/>
      <c r="CY46" s="24"/>
      <c r="CZ46" s="24"/>
      <c r="DA46" s="24"/>
      <c r="DB46" s="24"/>
      <c r="DC46" s="24"/>
      <c r="DD46" s="24"/>
      <c r="DE46" s="24"/>
      <c r="DF46" s="24"/>
      <c r="DG46" s="24"/>
      <c r="DH46" s="24"/>
      <c r="DI46" s="24"/>
      <c r="DL46" s="24"/>
      <c r="DM46" s="24"/>
      <c r="DN46" s="24"/>
      <c r="DO46" s="24"/>
      <c r="DP46" s="24"/>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row>
    <row r="47" spans="2:158" ht="27" customHeight="1" x14ac:dyDescent="0.35">
      <c r="B47" s="296" t="s">
        <v>256</v>
      </c>
      <c r="C47" s="551" t="s">
        <v>255</v>
      </c>
      <c r="D47" s="551"/>
      <c r="E47" s="551"/>
      <c r="F47" s="551"/>
      <c r="G47" s="551"/>
      <c r="H47" s="505"/>
      <c r="I47" s="221"/>
      <c r="J47" s="221"/>
      <c r="K47" s="24"/>
      <c r="L47" s="24"/>
      <c r="M47" s="24"/>
      <c r="N47" s="24"/>
      <c r="O47" s="24"/>
      <c r="P47" s="24"/>
      <c r="R47" s="24"/>
      <c r="S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17"/>
      <c r="CH47" s="17"/>
      <c r="CI47" s="24"/>
      <c r="CJ47" s="24"/>
      <c r="CK47" s="24"/>
      <c r="CL47" s="24"/>
      <c r="CM47" s="24"/>
      <c r="CN47" s="24"/>
      <c r="CO47" s="24"/>
      <c r="CP47" s="24"/>
      <c r="CQ47" s="24"/>
      <c r="CR47" s="24"/>
      <c r="CS47" s="24"/>
      <c r="CT47" s="24"/>
      <c r="CV47" s="24"/>
      <c r="CW47" s="24"/>
      <c r="CX47" s="24"/>
      <c r="CY47" s="24"/>
      <c r="CZ47" s="24"/>
      <c r="DA47" s="24"/>
      <c r="DB47" s="24"/>
      <c r="DC47" s="24"/>
      <c r="DD47" s="24"/>
      <c r="DE47" s="24"/>
      <c r="DF47" s="24"/>
      <c r="DG47" s="24"/>
      <c r="DH47" s="24"/>
      <c r="DI47" s="24"/>
      <c r="DL47" s="24"/>
      <c r="DM47" s="24"/>
      <c r="DN47" s="24"/>
      <c r="DO47" s="24"/>
      <c r="DP47" s="24"/>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row>
    <row r="48" spans="2:158" x14ac:dyDescent="0.35">
      <c r="B48" s="297"/>
      <c r="C48" s="347" t="s">
        <v>100</v>
      </c>
      <c r="D48" s="287"/>
      <c r="E48" s="347"/>
      <c r="F48" s="288"/>
      <c r="G48" s="288"/>
      <c r="H48" s="288"/>
      <c r="I48" s="121"/>
      <c r="J48" s="121"/>
      <c r="K48" s="24"/>
      <c r="L48" s="24"/>
      <c r="M48" s="24"/>
      <c r="N48" s="24"/>
      <c r="O48" s="24"/>
      <c r="P48" s="24"/>
      <c r="R48" s="24"/>
      <c r="S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17"/>
      <c r="CH48" s="17"/>
      <c r="CI48" s="24"/>
      <c r="CJ48" s="24"/>
      <c r="CK48" s="24"/>
      <c r="CL48" s="24"/>
      <c r="CM48" s="24"/>
      <c r="CN48" s="24"/>
      <c r="CO48" s="24"/>
      <c r="CP48" s="24"/>
      <c r="CQ48" s="24"/>
      <c r="CR48" s="24"/>
      <c r="CS48" s="24"/>
      <c r="CT48" s="24"/>
      <c r="CV48" s="24"/>
      <c r="CW48" s="24"/>
      <c r="CX48" s="24"/>
      <c r="CY48" s="24"/>
      <c r="CZ48" s="24"/>
      <c r="DA48" s="24"/>
      <c r="DB48" s="24"/>
      <c r="DC48" s="24"/>
      <c r="DD48" s="24"/>
      <c r="DE48" s="24"/>
      <c r="DF48" s="24"/>
      <c r="DG48" s="24"/>
      <c r="DH48" s="24"/>
      <c r="DI48" s="24"/>
      <c r="DL48" s="24"/>
      <c r="DM48" s="24"/>
      <c r="DN48" s="24"/>
      <c r="DO48" s="24"/>
      <c r="DP48" s="24"/>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row>
    <row r="49" spans="2:158" x14ac:dyDescent="0.35">
      <c r="B49" s="298" t="s">
        <v>263</v>
      </c>
      <c r="C49" s="288" t="s">
        <v>259</v>
      </c>
      <c r="D49" s="287"/>
      <c r="E49" s="287"/>
      <c r="F49" s="288"/>
      <c r="G49" s="288"/>
      <c r="H49" s="288"/>
      <c r="I49" s="121"/>
      <c r="J49" s="121"/>
      <c r="K49" s="24"/>
      <c r="L49" s="24"/>
      <c r="M49" s="24"/>
      <c r="N49" s="24"/>
      <c r="O49" s="24"/>
      <c r="P49" s="24"/>
      <c r="R49" s="24"/>
      <c r="S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17"/>
      <c r="CH49" s="17"/>
      <c r="CI49" s="24"/>
      <c r="CJ49" s="24"/>
      <c r="CK49" s="24"/>
      <c r="CL49" s="24"/>
      <c r="CM49" s="24"/>
      <c r="CN49" s="24"/>
      <c r="CO49" s="24"/>
      <c r="CP49" s="24"/>
      <c r="CQ49" s="24"/>
      <c r="CR49" s="24"/>
      <c r="CS49" s="24"/>
      <c r="CT49" s="24"/>
      <c r="CV49" s="24"/>
      <c r="CW49" s="24"/>
      <c r="CX49" s="24"/>
      <c r="CY49" s="24"/>
      <c r="CZ49" s="24"/>
      <c r="DA49" s="24"/>
      <c r="DB49" s="24"/>
      <c r="DC49" s="24"/>
      <c r="DD49" s="24"/>
      <c r="DE49" s="24"/>
      <c r="DF49" s="24"/>
      <c r="DG49" s="24"/>
      <c r="DH49" s="24"/>
      <c r="DI49" s="24"/>
      <c r="DL49" s="24"/>
      <c r="DM49" s="24"/>
      <c r="DN49" s="24"/>
      <c r="DO49" s="24"/>
      <c r="DP49" s="24"/>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row>
    <row r="50" spans="2:158" x14ac:dyDescent="0.35">
      <c r="B50" s="297"/>
      <c r="C50" s="347" t="s">
        <v>136</v>
      </c>
      <c r="D50" s="287"/>
      <c r="E50" s="347"/>
      <c r="F50" s="288"/>
      <c r="G50" s="288"/>
      <c r="H50" s="288"/>
      <c r="I50" s="121"/>
      <c r="J50" s="121"/>
      <c r="K50" s="24"/>
      <c r="L50" s="24"/>
      <c r="M50" s="24"/>
      <c r="N50" s="24"/>
      <c r="O50" s="24"/>
      <c r="P50" s="24"/>
      <c r="R50" s="24"/>
      <c r="S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V50" s="24"/>
      <c r="CW50" s="24"/>
      <c r="CX50" s="24"/>
      <c r="CY50" s="24"/>
      <c r="CZ50" s="24"/>
      <c r="DA50" s="24"/>
      <c r="DB50" s="24"/>
      <c r="DC50" s="24"/>
      <c r="DD50" s="24"/>
      <c r="DE50" s="24"/>
      <c r="DF50" s="24"/>
      <c r="DG50" s="24"/>
      <c r="DH50" s="24"/>
      <c r="DI50" s="24"/>
      <c r="DL50" s="24"/>
      <c r="DM50" s="24"/>
      <c r="DN50" s="24"/>
      <c r="DO50" s="24"/>
      <c r="DP50" s="24"/>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row>
    <row r="51" spans="2:158" x14ac:dyDescent="0.35">
      <c r="B51" s="298" t="s">
        <v>264</v>
      </c>
      <c r="C51" s="288" t="s">
        <v>260</v>
      </c>
      <c r="D51" s="348"/>
      <c r="E51" s="348"/>
      <c r="F51" s="288"/>
      <c r="G51" s="288"/>
      <c r="H51" s="288"/>
      <c r="I51" s="121"/>
      <c r="J51" s="121"/>
      <c r="K51" s="24"/>
      <c r="L51" s="24"/>
      <c r="M51" s="24"/>
      <c r="N51" s="24"/>
      <c r="O51" s="24"/>
      <c r="P51" s="24"/>
      <c r="R51" s="24"/>
      <c r="S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V51" s="24"/>
      <c r="CW51" s="24"/>
      <c r="CX51" s="24"/>
      <c r="CY51" s="24"/>
      <c r="CZ51" s="24"/>
      <c r="DA51" s="24"/>
      <c r="DB51" s="24"/>
      <c r="DC51" s="24"/>
      <c r="DD51" s="24"/>
      <c r="DE51" s="24"/>
      <c r="DF51" s="24"/>
      <c r="DG51" s="24"/>
      <c r="DH51" s="24"/>
      <c r="DI51" s="24"/>
      <c r="DL51" s="24"/>
      <c r="DM51" s="24"/>
      <c r="DN51" s="24"/>
      <c r="DO51" s="24"/>
      <c r="DP51" s="24"/>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row>
    <row r="52" spans="2:158" x14ac:dyDescent="0.35">
      <c r="B52" s="297"/>
      <c r="C52" s="347" t="s">
        <v>149</v>
      </c>
      <c r="D52" s="287"/>
      <c r="E52" s="347"/>
      <c r="F52" s="288"/>
      <c r="G52" s="288"/>
      <c r="H52" s="288"/>
      <c r="I52" s="121"/>
      <c r="J52" s="121"/>
      <c r="K52" s="24"/>
      <c r="L52" s="24"/>
      <c r="M52" s="24"/>
      <c r="N52" s="24"/>
      <c r="O52" s="24"/>
      <c r="P52" s="24"/>
      <c r="R52" s="24"/>
      <c r="S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V52" s="24"/>
      <c r="CW52" s="24"/>
      <c r="CX52" s="24"/>
      <c r="CY52" s="24"/>
      <c r="CZ52" s="24"/>
      <c r="DA52" s="24"/>
      <c r="DB52" s="24"/>
      <c r="DC52" s="24"/>
      <c r="DD52" s="24"/>
      <c r="DE52" s="24"/>
      <c r="DF52" s="24"/>
      <c r="DG52" s="24"/>
      <c r="DH52" s="24"/>
      <c r="DI52" s="24"/>
      <c r="DL52" s="24"/>
      <c r="DM52" s="24"/>
      <c r="DN52" s="24"/>
      <c r="DO52" s="24"/>
      <c r="DP52" s="24"/>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row>
    <row r="53" spans="2:158" x14ac:dyDescent="0.35">
      <c r="B53" s="298" t="s">
        <v>265</v>
      </c>
      <c r="C53" s="288" t="s">
        <v>397</v>
      </c>
      <c r="D53" s="287"/>
      <c r="E53" s="347"/>
      <c r="F53" s="288"/>
      <c r="G53" s="288"/>
      <c r="H53" s="288"/>
      <c r="I53" s="121"/>
      <c r="J53" s="121"/>
      <c r="K53" s="24"/>
      <c r="L53" s="24"/>
      <c r="M53" s="24"/>
      <c r="N53" s="24"/>
      <c r="O53" s="24"/>
      <c r="P53" s="24"/>
      <c r="R53" s="24"/>
      <c r="S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V53" s="24"/>
      <c r="CW53" s="24"/>
      <c r="CX53" s="24"/>
      <c r="CY53" s="24"/>
      <c r="CZ53" s="24"/>
      <c r="DA53" s="24"/>
      <c r="DB53" s="24"/>
      <c r="DC53" s="24"/>
      <c r="DD53" s="24"/>
      <c r="DE53" s="24"/>
      <c r="DF53" s="24"/>
      <c r="DG53" s="24"/>
      <c r="DH53" s="24"/>
      <c r="DI53" s="24"/>
      <c r="DL53" s="24"/>
      <c r="DM53" s="24"/>
      <c r="DN53" s="24"/>
      <c r="DO53" s="24"/>
      <c r="DP53" s="24"/>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row>
    <row r="54" spans="2:158" x14ac:dyDescent="0.35">
      <c r="B54" s="297"/>
      <c r="C54" s="347" t="s">
        <v>398</v>
      </c>
      <c r="D54" s="287"/>
      <c r="E54" s="347"/>
      <c r="F54" s="288"/>
      <c r="G54" s="288"/>
      <c r="H54" s="288"/>
      <c r="I54" s="121"/>
      <c r="J54" s="121"/>
      <c r="K54" s="24"/>
      <c r="L54" s="24"/>
      <c r="M54" s="24"/>
      <c r="N54" s="24"/>
      <c r="O54" s="24"/>
      <c r="P54" s="24"/>
      <c r="R54" s="24"/>
      <c r="S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V54" s="24"/>
      <c r="CW54" s="24"/>
      <c r="CX54" s="24"/>
      <c r="CY54" s="24"/>
      <c r="CZ54" s="24"/>
      <c r="DA54" s="24"/>
      <c r="DB54" s="24"/>
      <c r="DC54" s="24"/>
      <c r="DD54" s="24"/>
      <c r="DE54" s="24"/>
      <c r="DF54" s="24"/>
      <c r="DG54" s="24"/>
      <c r="DH54" s="24"/>
      <c r="DI54" s="24"/>
      <c r="DL54" s="24"/>
      <c r="DM54" s="24"/>
      <c r="DN54" s="24"/>
      <c r="DO54" s="24"/>
      <c r="DP54" s="24"/>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row>
    <row r="55" spans="2:158" ht="27" customHeight="1" x14ac:dyDescent="0.35">
      <c r="B55" s="298" t="s">
        <v>266</v>
      </c>
      <c r="C55" s="551" t="s">
        <v>261</v>
      </c>
      <c r="D55" s="551"/>
      <c r="E55" s="551"/>
      <c r="F55" s="551"/>
      <c r="G55" s="551"/>
      <c r="H55" s="505"/>
      <c r="I55" s="121"/>
      <c r="J55" s="121"/>
      <c r="K55" s="24"/>
      <c r="L55" s="24"/>
      <c r="M55" s="24"/>
      <c r="N55" s="24"/>
      <c r="O55" s="24"/>
      <c r="P55" s="24"/>
      <c r="R55" s="24"/>
      <c r="S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V55" s="24"/>
      <c r="CW55" s="24"/>
      <c r="CX55" s="24"/>
      <c r="CY55" s="24"/>
      <c r="CZ55" s="24"/>
      <c r="DA55" s="24"/>
      <c r="DB55" s="24"/>
      <c r="DC55" s="24"/>
      <c r="DD55" s="24"/>
      <c r="DE55" s="24"/>
      <c r="DF55" s="24"/>
      <c r="DG55" s="24"/>
      <c r="DH55" s="24"/>
      <c r="DI55" s="24"/>
      <c r="DL55" s="24"/>
      <c r="DM55" s="24"/>
      <c r="DN55" s="24"/>
      <c r="DO55" s="24"/>
      <c r="DP55" s="24"/>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row>
    <row r="56" spans="2:158" x14ac:dyDescent="0.35">
      <c r="B56" s="297"/>
      <c r="C56" s="347" t="s">
        <v>100</v>
      </c>
      <c r="D56" s="287"/>
      <c r="E56" s="347"/>
      <c r="F56" s="288"/>
      <c r="G56" s="288"/>
      <c r="H56" s="288"/>
      <c r="I56" s="121"/>
      <c r="J56" s="121"/>
      <c r="K56" s="24"/>
      <c r="L56" s="24"/>
      <c r="M56" s="24"/>
      <c r="N56" s="24"/>
      <c r="O56" s="24"/>
      <c r="P56" s="24"/>
      <c r="R56" s="24"/>
      <c r="S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V56" s="24"/>
      <c r="CW56" s="24"/>
      <c r="CX56" s="24"/>
      <c r="CY56" s="24"/>
      <c r="CZ56" s="24"/>
      <c r="DA56" s="24"/>
      <c r="DB56" s="24"/>
      <c r="DC56" s="24"/>
      <c r="DD56" s="24"/>
      <c r="DE56" s="24"/>
      <c r="DF56" s="24"/>
      <c r="DG56" s="24"/>
      <c r="DH56" s="24"/>
      <c r="DI56" s="24"/>
      <c r="DL56" s="24"/>
      <c r="DM56" s="24"/>
      <c r="DN56" s="24"/>
      <c r="DO56" s="24"/>
      <c r="DP56" s="24"/>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row>
    <row r="57" spans="2:158" x14ac:dyDescent="0.35">
      <c r="B57" s="298" t="s">
        <v>267</v>
      </c>
      <c r="C57" s="288" t="s">
        <v>262</v>
      </c>
      <c r="D57" s="287"/>
      <c r="E57" s="347"/>
      <c r="F57" s="288"/>
      <c r="G57" s="288"/>
      <c r="H57" s="288"/>
      <c r="I57" s="121"/>
      <c r="J57" s="121"/>
      <c r="K57" s="24"/>
      <c r="L57" s="24"/>
      <c r="M57" s="24"/>
      <c r="N57" s="24"/>
      <c r="O57" s="24"/>
      <c r="P57" s="24"/>
      <c r="R57" s="24"/>
      <c r="S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V57" s="24"/>
      <c r="CW57" s="24"/>
      <c r="CX57" s="24"/>
      <c r="CY57" s="24"/>
      <c r="CZ57" s="24"/>
      <c r="DA57" s="24"/>
      <c r="DB57" s="24"/>
      <c r="DC57" s="24"/>
      <c r="DD57" s="24"/>
      <c r="DE57" s="24"/>
      <c r="DF57" s="24"/>
      <c r="DG57" s="24"/>
      <c r="DH57" s="24"/>
      <c r="DI57" s="24"/>
      <c r="DL57" s="24"/>
      <c r="DM57" s="24"/>
      <c r="DN57" s="24"/>
      <c r="DO57" s="24"/>
      <c r="DP57" s="24"/>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row>
    <row r="58" spans="2:158" x14ac:dyDescent="0.35">
      <c r="B58" s="291"/>
      <c r="C58" s="347" t="s">
        <v>136</v>
      </c>
      <c r="D58" s="287"/>
      <c r="E58" s="347"/>
      <c r="F58" s="288"/>
      <c r="G58" s="288"/>
      <c r="H58" s="288"/>
      <c r="I58" s="121"/>
      <c r="J58" s="121"/>
      <c r="K58" s="24"/>
      <c r="L58" s="24"/>
      <c r="M58" s="24"/>
      <c r="N58" s="24"/>
      <c r="O58" s="24"/>
      <c r="P58" s="24"/>
      <c r="R58" s="24"/>
      <c r="S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V58" s="24"/>
      <c r="CW58" s="24"/>
      <c r="CX58" s="24"/>
      <c r="CY58" s="24"/>
      <c r="CZ58" s="24"/>
      <c r="DA58" s="24"/>
      <c r="DB58" s="24"/>
      <c r="DC58" s="24"/>
      <c r="DD58" s="24"/>
      <c r="DE58" s="24"/>
      <c r="DF58" s="24"/>
      <c r="DG58" s="24"/>
      <c r="DH58" s="24"/>
      <c r="DI58" s="24"/>
      <c r="DL58" s="24"/>
      <c r="DM58" s="24"/>
      <c r="DN58" s="24"/>
      <c r="DO58" s="24"/>
      <c r="DP58" s="24"/>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row>
    <row r="59" spans="2:158" x14ac:dyDescent="0.35">
      <c r="B59" s="349"/>
      <c r="C59" s="349"/>
      <c r="D59" s="350"/>
      <c r="E59" s="350"/>
      <c r="F59" s="351"/>
      <c r="G59" s="289"/>
      <c r="H59" s="289"/>
      <c r="I59" s="122"/>
      <c r="J59" s="122"/>
      <c r="K59" s="24"/>
      <c r="L59" s="24"/>
      <c r="M59" s="24"/>
      <c r="N59" s="24"/>
      <c r="O59" s="24"/>
      <c r="P59" s="24"/>
      <c r="R59" s="24"/>
      <c r="S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V59" s="24"/>
      <c r="CW59" s="24"/>
      <c r="CX59" s="24"/>
      <c r="CY59" s="24"/>
      <c r="CZ59" s="24"/>
      <c r="DA59" s="24"/>
      <c r="DB59" s="24"/>
      <c r="DC59" s="24"/>
      <c r="DD59" s="24"/>
      <c r="DE59" s="24"/>
      <c r="DF59" s="24"/>
      <c r="DG59" s="24"/>
      <c r="DH59" s="24"/>
      <c r="DI59" s="24"/>
      <c r="DL59" s="24"/>
      <c r="DM59" s="24"/>
      <c r="DN59" s="24"/>
      <c r="DO59" s="24"/>
      <c r="DP59" s="24"/>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row>
    <row r="60" spans="2:158" x14ac:dyDescent="0.35">
      <c r="B60" s="352" t="s">
        <v>84</v>
      </c>
      <c r="C60" s="352"/>
      <c r="D60" s="290"/>
      <c r="E60" s="290"/>
      <c r="F60" s="351"/>
      <c r="G60" s="289"/>
      <c r="H60" s="289"/>
      <c r="I60" s="122"/>
      <c r="J60" s="122"/>
      <c r="K60" s="24"/>
      <c r="L60" s="24"/>
      <c r="M60" s="24"/>
      <c r="N60" s="24"/>
      <c r="O60" s="24"/>
      <c r="P60" s="24"/>
      <c r="R60" s="24"/>
      <c r="S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V60" s="24"/>
      <c r="CW60" s="24"/>
      <c r="CX60" s="24"/>
      <c r="CY60" s="24"/>
      <c r="CZ60" s="24"/>
      <c r="DA60" s="24"/>
      <c r="DB60" s="24"/>
      <c r="DC60" s="24"/>
      <c r="DD60" s="24"/>
      <c r="DE60" s="24"/>
      <c r="DF60" s="24"/>
      <c r="DG60" s="24"/>
      <c r="DH60" s="24"/>
      <c r="DI60" s="24"/>
      <c r="DL60" s="24"/>
      <c r="DM60" s="24"/>
      <c r="DN60" s="24"/>
      <c r="DO60" s="24"/>
      <c r="DP60" s="24"/>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row>
    <row r="61" spans="2:158" x14ac:dyDescent="0.35">
      <c r="B61" s="296" t="s">
        <v>256</v>
      </c>
      <c r="C61" s="287" t="s">
        <v>257</v>
      </c>
      <c r="D61" s="290"/>
      <c r="E61" s="290"/>
      <c r="F61" s="351"/>
      <c r="G61" s="289"/>
      <c r="H61" s="289"/>
      <c r="I61" s="122"/>
      <c r="J61" s="122"/>
      <c r="K61" s="24"/>
      <c r="L61" s="24"/>
      <c r="M61" s="24"/>
      <c r="N61" s="24"/>
      <c r="O61" s="24"/>
      <c r="P61" s="24"/>
      <c r="R61" s="24"/>
      <c r="S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V61" s="24"/>
      <c r="CW61" s="24"/>
      <c r="CX61" s="24"/>
      <c r="CY61" s="24"/>
      <c r="CZ61" s="24"/>
      <c r="DA61" s="24"/>
      <c r="DB61" s="24"/>
      <c r="DC61" s="24"/>
      <c r="DD61" s="24"/>
      <c r="DE61" s="24"/>
      <c r="DF61" s="24"/>
      <c r="DG61" s="24"/>
      <c r="DH61" s="24"/>
      <c r="DI61" s="24"/>
      <c r="DL61" s="24"/>
      <c r="DM61" s="24"/>
      <c r="DN61" s="24"/>
      <c r="DO61" s="24"/>
      <c r="DP61" s="24"/>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row>
    <row r="62" spans="2:158" x14ac:dyDescent="0.35">
      <c r="B62" s="298" t="s">
        <v>263</v>
      </c>
      <c r="C62" s="287" t="s">
        <v>468</v>
      </c>
      <c r="D62" s="387"/>
      <c r="E62" s="158"/>
      <c r="F62" s="159"/>
      <c r="G62" s="191"/>
      <c r="H62" s="191"/>
      <c r="I62" s="159"/>
      <c r="J62" s="159"/>
      <c r="K62" s="43"/>
      <c r="L62" s="43"/>
      <c r="M62" s="43"/>
      <c r="N62" s="43"/>
      <c r="O62" s="43"/>
      <c r="P62" s="43"/>
      <c r="Q62" s="43"/>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row>
    <row r="63" spans="2:158" x14ac:dyDescent="0.35">
      <c r="B63" s="298" t="s">
        <v>264</v>
      </c>
      <c r="C63" s="287" t="s">
        <v>447</v>
      </c>
      <c r="D63" s="387"/>
      <c r="E63" s="158"/>
      <c r="F63" s="159"/>
      <c r="G63" s="191"/>
      <c r="H63" s="191"/>
      <c r="I63" s="159"/>
      <c r="J63" s="159"/>
      <c r="K63" s="43"/>
      <c r="L63" s="43"/>
      <c r="M63" s="43"/>
      <c r="N63" s="43"/>
      <c r="O63" s="43"/>
      <c r="P63" s="43"/>
      <c r="Q63" s="4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row>
    <row r="64" spans="2:158" x14ac:dyDescent="0.35">
      <c r="B64" s="296" t="s">
        <v>265</v>
      </c>
      <c r="C64" s="287" t="s">
        <v>463</v>
      </c>
      <c r="D64" s="387"/>
      <c r="E64" s="158"/>
      <c r="F64" s="159"/>
      <c r="G64" s="191"/>
      <c r="H64" s="191"/>
      <c r="I64" s="159"/>
      <c r="J64" s="159"/>
      <c r="K64" s="43"/>
      <c r="L64" s="43"/>
      <c r="M64" s="43"/>
      <c r="N64" s="43"/>
      <c r="O64" s="43"/>
      <c r="P64" s="43"/>
      <c r="Q64" s="43"/>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row>
    <row r="65" spans="2:158" x14ac:dyDescent="0.35">
      <c r="B65" s="296" t="s">
        <v>266</v>
      </c>
      <c r="C65" s="499" t="s">
        <v>390</v>
      </c>
      <c r="D65" s="387"/>
      <c r="E65" s="158"/>
      <c r="F65" s="159"/>
      <c r="G65" s="191"/>
      <c r="H65" s="191"/>
      <c r="I65" s="159"/>
      <c r="J65" s="159"/>
      <c r="K65" s="43"/>
      <c r="L65" s="43"/>
      <c r="M65" s="43"/>
      <c r="N65" s="43"/>
      <c r="O65" s="43"/>
      <c r="P65" s="43"/>
      <c r="Q65" s="43"/>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row>
    <row r="66" spans="2:158" x14ac:dyDescent="0.35">
      <c r="B66" s="296" t="s">
        <v>267</v>
      </c>
      <c r="C66" s="287" t="s">
        <v>258</v>
      </c>
      <c r="D66" s="290"/>
      <c r="E66" s="290"/>
      <c r="F66" s="351"/>
      <c r="G66" s="289"/>
      <c r="H66" s="289"/>
      <c r="I66" s="122"/>
      <c r="J66" s="122"/>
      <c r="K66" s="24"/>
      <c r="L66" s="24"/>
      <c r="M66" s="24"/>
      <c r="N66" s="24"/>
      <c r="O66" s="24"/>
      <c r="P66" s="24"/>
      <c r="R66" s="24"/>
      <c r="S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V66" s="24"/>
      <c r="CW66" s="24"/>
      <c r="CX66" s="24"/>
      <c r="CY66" s="24"/>
      <c r="CZ66" s="24"/>
      <c r="DA66" s="24"/>
      <c r="DB66" s="24"/>
      <c r="DC66" s="24"/>
      <c r="DD66" s="24"/>
      <c r="DE66" s="24"/>
      <c r="DF66" s="24"/>
      <c r="DG66" s="24"/>
      <c r="DH66" s="24"/>
      <c r="DI66" s="24"/>
      <c r="DL66" s="24"/>
      <c r="DM66" s="24"/>
      <c r="DN66" s="24"/>
      <c r="DO66" s="24"/>
      <c r="DP66" s="24"/>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row>
    <row r="67" spans="2:158" x14ac:dyDescent="0.35">
      <c r="B67" s="16"/>
      <c r="C67" s="16"/>
      <c r="D67" s="9"/>
      <c r="E67" s="9"/>
      <c r="F67" s="24"/>
      <c r="G67" s="8"/>
      <c r="H67" s="8"/>
      <c r="I67" s="8"/>
      <c r="J67" s="8"/>
      <c r="K67" s="24"/>
      <c r="L67" s="24"/>
      <c r="M67" s="24"/>
      <c r="N67" s="24"/>
      <c r="O67" s="24"/>
      <c r="P67" s="24"/>
      <c r="R67" s="24"/>
      <c r="S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V67" s="24"/>
      <c r="CW67" s="24"/>
      <c r="CX67" s="24"/>
      <c r="CY67" s="24"/>
      <c r="CZ67" s="24"/>
      <c r="DA67" s="24"/>
      <c r="DB67" s="24"/>
      <c r="DC67" s="24"/>
      <c r="DD67" s="24"/>
      <c r="DE67" s="24"/>
      <c r="DF67" s="24"/>
      <c r="DG67" s="24"/>
      <c r="DH67" s="24"/>
      <c r="DI67" s="24"/>
      <c r="DL67" s="24"/>
      <c r="DM67" s="24"/>
      <c r="DN67" s="24"/>
      <c r="DO67" s="24"/>
      <c r="DP67" s="24"/>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row>
    <row r="68" spans="2:158" x14ac:dyDescent="0.35">
      <c r="B68" s="16"/>
      <c r="C68" s="16"/>
      <c r="D68" s="9"/>
      <c r="E68" s="9"/>
      <c r="F68" s="24"/>
      <c r="G68" s="8"/>
      <c r="H68" s="8"/>
      <c r="I68" s="8"/>
      <c r="J68" s="8"/>
      <c r="K68" s="24"/>
      <c r="L68" s="24"/>
      <c r="M68" s="24"/>
      <c r="N68" s="24"/>
      <c r="O68" s="24"/>
      <c r="P68" s="24"/>
      <c r="R68" s="24"/>
      <c r="S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V68" s="24"/>
      <c r="CW68" s="24"/>
      <c r="CX68" s="24"/>
      <c r="CY68" s="24"/>
      <c r="CZ68" s="24"/>
      <c r="DA68" s="24"/>
      <c r="DB68" s="24"/>
      <c r="DC68" s="24"/>
      <c r="DD68" s="24"/>
      <c r="DE68" s="24"/>
      <c r="DF68" s="24"/>
      <c r="DG68" s="24"/>
      <c r="DH68" s="24"/>
      <c r="DI68" s="24"/>
      <c r="DL68" s="24"/>
      <c r="DM68" s="24"/>
      <c r="DN68" s="24"/>
      <c r="DO68" s="24"/>
      <c r="DP68" s="24"/>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row>
    <row r="69" spans="2:158" x14ac:dyDescent="0.35">
      <c r="B69" s="16"/>
      <c r="C69" s="16"/>
      <c r="D69" s="9"/>
      <c r="E69" s="9"/>
      <c r="F69" s="24"/>
      <c r="G69" s="8"/>
      <c r="H69" s="8"/>
      <c r="I69" s="8"/>
      <c r="J69" s="8"/>
      <c r="K69" s="24"/>
      <c r="L69" s="24"/>
      <c r="M69" s="24"/>
      <c r="N69" s="24"/>
      <c r="O69" s="24"/>
      <c r="P69" s="24"/>
      <c r="R69" s="24"/>
      <c r="S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V69" s="24"/>
      <c r="CW69" s="24"/>
      <c r="CX69" s="24"/>
      <c r="CY69" s="24"/>
      <c r="CZ69" s="24"/>
      <c r="DA69" s="24"/>
      <c r="DB69" s="24"/>
      <c r="DC69" s="24"/>
      <c r="DD69" s="24"/>
      <c r="DE69" s="24"/>
      <c r="DF69" s="24"/>
      <c r="DG69" s="24"/>
      <c r="DH69" s="24"/>
      <c r="DI69" s="24"/>
      <c r="DL69" s="24"/>
      <c r="DM69" s="24"/>
      <c r="DN69" s="24"/>
      <c r="DO69" s="24"/>
      <c r="DP69" s="24"/>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row>
    <row r="70" spans="2:158" x14ac:dyDescent="0.35">
      <c r="B70" s="8"/>
      <c r="C70" s="8"/>
      <c r="D70" s="9"/>
      <c r="E70" s="9"/>
      <c r="F70" s="24"/>
      <c r="G70" s="8"/>
      <c r="H70" s="8"/>
      <c r="I70" s="8"/>
      <c r="J70" s="8"/>
      <c r="K70" s="24"/>
      <c r="L70" s="24"/>
      <c r="M70" s="24"/>
      <c r="N70" s="24"/>
      <c r="O70" s="24"/>
      <c r="P70" s="24"/>
      <c r="R70" s="24"/>
      <c r="S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V70" s="24"/>
      <c r="CW70" s="24"/>
      <c r="CX70" s="24"/>
      <c r="CY70" s="24"/>
      <c r="CZ70" s="24"/>
      <c r="DA70" s="24"/>
      <c r="DB70" s="24"/>
      <c r="DC70" s="24"/>
      <c r="DD70" s="24"/>
      <c r="DE70" s="24"/>
      <c r="DF70" s="24"/>
      <c r="DG70" s="24"/>
      <c r="DH70" s="24"/>
      <c r="DI70" s="24"/>
      <c r="DL70" s="24"/>
      <c r="DM70" s="24"/>
      <c r="DN70" s="24"/>
      <c r="DO70" s="24"/>
      <c r="DP70" s="24"/>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row>
    <row r="71" spans="2:158" x14ac:dyDescent="0.35">
      <c r="B71" s="8"/>
      <c r="C71" s="8"/>
      <c r="D71" s="9"/>
      <c r="E71" s="9"/>
      <c r="F71" s="24"/>
      <c r="G71" s="8"/>
      <c r="H71" s="8"/>
      <c r="I71" s="8"/>
      <c r="J71" s="8"/>
      <c r="K71" s="24"/>
      <c r="L71" s="24"/>
      <c r="M71" s="24"/>
      <c r="N71" s="24"/>
      <c r="O71" s="24"/>
      <c r="P71" s="24"/>
      <c r="R71" s="24"/>
      <c r="S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V71" s="24"/>
      <c r="CW71" s="24"/>
      <c r="CX71" s="24"/>
      <c r="CY71" s="24"/>
      <c r="CZ71" s="24"/>
      <c r="DA71" s="24"/>
      <c r="DB71" s="24"/>
      <c r="DC71" s="24"/>
      <c r="DD71" s="24"/>
      <c r="DE71" s="24"/>
      <c r="DF71" s="24"/>
      <c r="DG71" s="24"/>
      <c r="DH71" s="24"/>
      <c r="DI71" s="24"/>
      <c r="DL71" s="24"/>
      <c r="DM71" s="24"/>
      <c r="DN71" s="24"/>
      <c r="DO71" s="24"/>
      <c r="DP71" s="24"/>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row>
    <row r="72" spans="2:158" x14ac:dyDescent="0.35">
      <c r="B72" s="8"/>
      <c r="C72" s="8"/>
      <c r="D72" s="9"/>
      <c r="E72" s="9"/>
      <c r="F72" s="24"/>
      <c r="G72" s="8"/>
      <c r="H72" s="8"/>
      <c r="I72" s="8"/>
      <c r="J72" s="8"/>
      <c r="K72" s="24"/>
      <c r="L72" s="24"/>
      <c r="M72" s="24"/>
      <c r="N72" s="24"/>
      <c r="O72" s="24"/>
      <c r="P72" s="24"/>
      <c r="R72" s="24"/>
      <c r="S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V72" s="24"/>
      <c r="CW72" s="24"/>
      <c r="CX72" s="24"/>
      <c r="CY72" s="24"/>
      <c r="CZ72" s="24"/>
      <c r="DA72" s="24"/>
      <c r="DB72" s="24"/>
      <c r="DC72" s="24"/>
      <c r="DD72" s="24"/>
      <c r="DE72" s="24"/>
      <c r="DF72" s="24"/>
      <c r="DG72" s="24"/>
      <c r="DH72" s="24"/>
      <c r="DI72" s="24"/>
      <c r="DL72" s="24"/>
      <c r="DM72" s="24"/>
      <c r="DN72" s="24"/>
      <c r="DO72" s="24"/>
      <c r="DP72" s="24"/>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row>
    <row r="73" spans="2:158" x14ac:dyDescent="0.35">
      <c r="B73" s="8"/>
      <c r="C73" s="8"/>
      <c r="D73" s="9"/>
      <c r="E73" s="9"/>
      <c r="F73" s="24"/>
      <c r="G73" s="8"/>
      <c r="H73" s="8"/>
      <c r="I73" s="8"/>
      <c r="J73" s="8"/>
      <c r="K73" s="24"/>
      <c r="L73" s="24"/>
      <c r="M73" s="24"/>
      <c r="N73" s="24"/>
      <c r="O73" s="24"/>
      <c r="P73" s="24"/>
      <c r="R73" s="24"/>
      <c r="S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V73" s="24"/>
      <c r="CW73" s="24"/>
      <c r="CX73" s="24"/>
      <c r="CY73" s="24"/>
      <c r="CZ73" s="24"/>
      <c r="DA73" s="24"/>
      <c r="DB73" s="24"/>
      <c r="DC73" s="24"/>
      <c r="DD73" s="24"/>
      <c r="DE73" s="24"/>
      <c r="DF73" s="24"/>
      <c r="DG73" s="24"/>
      <c r="DH73" s="24"/>
      <c r="DI73" s="24"/>
      <c r="DL73" s="24"/>
      <c r="DM73" s="24"/>
      <c r="DN73" s="24"/>
      <c r="DO73" s="24"/>
      <c r="DP73" s="24"/>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row>
    <row r="74" spans="2:158" x14ac:dyDescent="0.35">
      <c r="B74" s="8"/>
      <c r="C74" s="8"/>
      <c r="D74" s="9"/>
      <c r="E74" s="9"/>
      <c r="F74" s="24"/>
      <c r="G74" s="8"/>
      <c r="H74" s="8"/>
      <c r="I74" s="8"/>
      <c r="J74" s="8"/>
      <c r="K74" s="24"/>
      <c r="L74" s="24"/>
      <c r="M74" s="24"/>
      <c r="N74" s="24"/>
      <c r="O74" s="24"/>
      <c r="P74" s="24"/>
      <c r="R74" s="24"/>
      <c r="S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V74" s="24"/>
      <c r="CW74" s="24"/>
      <c r="CX74" s="24"/>
      <c r="CY74" s="24"/>
      <c r="CZ74" s="24"/>
      <c r="DA74" s="24"/>
      <c r="DB74" s="24"/>
      <c r="DC74" s="24"/>
      <c r="DD74" s="24"/>
      <c r="DE74" s="24"/>
      <c r="DF74" s="24"/>
      <c r="DG74" s="24"/>
      <c r="DH74" s="24"/>
      <c r="DI74" s="24"/>
      <c r="DL74" s="24"/>
      <c r="DM74" s="24"/>
      <c r="DN74" s="24"/>
      <c r="DO74" s="24"/>
      <c r="DP74" s="24"/>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row>
    <row r="75" spans="2:158" x14ac:dyDescent="0.35">
      <c r="B75" s="8"/>
      <c r="C75" s="8"/>
      <c r="D75" s="9"/>
      <c r="E75" s="9"/>
      <c r="F75" s="24"/>
      <c r="G75" s="8"/>
      <c r="H75" s="8"/>
      <c r="I75" s="8"/>
      <c r="J75" s="8"/>
      <c r="K75" s="24"/>
      <c r="L75" s="24"/>
      <c r="M75" s="24"/>
      <c r="N75" s="24"/>
      <c r="O75" s="24"/>
      <c r="P75" s="24"/>
      <c r="R75" s="24"/>
      <c r="S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V75" s="24"/>
      <c r="CW75" s="24"/>
      <c r="CX75" s="24"/>
      <c r="CY75" s="24"/>
      <c r="CZ75" s="24"/>
      <c r="DA75" s="24"/>
      <c r="DB75" s="24"/>
      <c r="DC75" s="24"/>
      <c r="DD75" s="24"/>
      <c r="DE75" s="24"/>
      <c r="DF75" s="24"/>
      <c r="DG75" s="24"/>
      <c r="DH75" s="24"/>
      <c r="DI75" s="24"/>
      <c r="DL75" s="24"/>
      <c r="DM75" s="24"/>
      <c r="DN75" s="24"/>
      <c r="DO75" s="24"/>
      <c r="DP75" s="24"/>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row>
    <row r="76" spans="2:158" x14ac:dyDescent="0.35">
      <c r="B76" s="8"/>
      <c r="C76" s="8"/>
      <c r="D76" s="9"/>
      <c r="E76" s="9"/>
      <c r="F76" s="24"/>
      <c r="G76" s="8"/>
      <c r="H76" s="8"/>
      <c r="I76" s="8"/>
      <c r="J76" s="8"/>
      <c r="K76" s="24"/>
      <c r="L76" s="24"/>
      <c r="M76" s="24"/>
      <c r="N76" s="24"/>
      <c r="O76" s="24"/>
      <c r="P76" s="24"/>
      <c r="R76" s="24"/>
      <c r="S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V76" s="24"/>
      <c r="CW76" s="24"/>
      <c r="CX76" s="24"/>
      <c r="CY76" s="24"/>
      <c r="CZ76" s="24"/>
      <c r="DA76" s="24"/>
      <c r="DB76" s="24"/>
      <c r="DC76" s="24"/>
      <c r="DD76" s="24"/>
      <c r="DE76" s="24"/>
      <c r="DF76" s="24"/>
      <c r="DG76" s="24"/>
      <c r="DH76" s="24"/>
      <c r="DI76" s="24"/>
      <c r="DL76" s="24"/>
      <c r="DM76" s="24"/>
      <c r="DN76" s="24"/>
      <c r="DO76" s="24"/>
      <c r="DP76" s="24"/>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row>
    <row r="77" spans="2:158" x14ac:dyDescent="0.35">
      <c r="B77" s="8"/>
      <c r="C77" s="8"/>
      <c r="D77" s="9"/>
      <c r="E77" s="9"/>
      <c r="F77" s="24"/>
      <c r="G77" s="8"/>
      <c r="H77" s="8"/>
      <c r="I77" s="8"/>
      <c r="J77" s="8"/>
      <c r="K77" s="24"/>
      <c r="L77" s="24"/>
      <c r="M77" s="24"/>
      <c r="N77" s="24"/>
      <c r="O77" s="24"/>
      <c r="P77" s="24"/>
      <c r="R77" s="24"/>
      <c r="S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V77" s="24"/>
      <c r="CW77" s="24"/>
      <c r="CX77" s="24"/>
      <c r="CY77" s="24"/>
      <c r="CZ77" s="24"/>
      <c r="DA77" s="24"/>
      <c r="DB77" s="24"/>
      <c r="DC77" s="24"/>
      <c r="DD77" s="24"/>
      <c r="DE77" s="24"/>
      <c r="DF77" s="24"/>
      <c r="DG77" s="24"/>
      <c r="DH77" s="24"/>
      <c r="DI77" s="24"/>
      <c r="DL77" s="24"/>
      <c r="DM77" s="24"/>
      <c r="DN77" s="24"/>
      <c r="DO77" s="24"/>
      <c r="DP77" s="24"/>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row>
    <row r="78" spans="2:158" x14ac:dyDescent="0.35">
      <c r="B78" s="8"/>
      <c r="C78" s="8"/>
      <c r="D78" s="9"/>
      <c r="E78" s="9"/>
      <c r="F78" s="24"/>
      <c r="G78" s="8"/>
      <c r="H78" s="8"/>
      <c r="I78" s="8"/>
      <c r="J78" s="8"/>
      <c r="K78" s="24"/>
      <c r="L78" s="24"/>
      <c r="M78" s="24"/>
      <c r="N78" s="24"/>
      <c r="O78" s="24"/>
      <c r="P78" s="24"/>
      <c r="R78" s="24"/>
      <c r="S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V78" s="24"/>
      <c r="CW78" s="24"/>
      <c r="CX78" s="24"/>
      <c r="CY78" s="24"/>
      <c r="CZ78" s="24"/>
      <c r="DA78" s="24"/>
      <c r="DB78" s="24"/>
      <c r="DC78" s="24"/>
      <c r="DD78" s="24"/>
      <c r="DE78" s="24"/>
      <c r="DF78" s="24"/>
      <c r="DG78" s="24"/>
      <c r="DH78" s="24"/>
      <c r="DI78" s="24"/>
      <c r="DL78" s="24"/>
      <c r="DM78" s="24"/>
      <c r="DN78" s="24"/>
      <c r="DO78" s="24"/>
      <c r="DP78" s="24"/>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row>
    <row r="79" spans="2:158" x14ac:dyDescent="0.35">
      <c r="B79" s="8"/>
      <c r="C79" s="8"/>
      <c r="D79" s="9"/>
      <c r="E79" s="9"/>
      <c r="F79" s="24"/>
      <c r="G79" s="8"/>
      <c r="H79" s="8"/>
      <c r="I79" s="8"/>
      <c r="J79" s="8"/>
      <c r="K79" s="24"/>
      <c r="L79" s="24"/>
      <c r="M79" s="24"/>
      <c r="N79" s="24"/>
      <c r="O79" s="24"/>
      <c r="P79" s="24"/>
      <c r="R79" s="24"/>
      <c r="S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V79" s="24"/>
      <c r="CW79" s="24"/>
      <c r="CX79" s="24"/>
      <c r="CY79" s="24"/>
      <c r="CZ79" s="24"/>
      <c r="DA79" s="24"/>
      <c r="DB79" s="24"/>
      <c r="DC79" s="24"/>
      <c r="DD79" s="24"/>
      <c r="DE79" s="24"/>
      <c r="DF79" s="24"/>
      <c r="DG79" s="24"/>
      <c r="DH79" s="24"/>
      <c r="DI79" s="24"/>
      <c r="DL79" s="24"/>
      <c r="DM79" s="24"/>
      <c r="DN79" s="24"/>
      <c r="DO79" s="24"/>
      <c r="DP79" s="24"/>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row>
    <row r="80" spans="2:158" x14ac:dyDescent="0.35">
      <c r="B80" s="8"/>
      <c r="C80" s="8"/>
      <c r="D80" s="9"/>
      <c r="E80" s="9"/>
      <c r="F80" s="24"/>
      <c r="G80" s="8"/>
      <c r="H80" s="8"/>
      <c r="I80" s="8"/>
      <c r="J80" s="8"/>
      <c r="K80" s="24"/>
      <c r="L80" s="24"/>
      <c r="M80" s="24"/>
      <c r="N80" s="24"/>
      <c r="O80" s="24"/>
      <c r="P80" s="24"/>
      <c r="R80" s="24"/>
      <c r="S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V80" s="24"/>
      <c r="CW80" s="24"/>
      <c r="CX80" s="24"/>
      <c r="CY80" s="24"/>
      <c r="CZ80" s="24"/>
      <c r="DA80" s="24"/>
      <c r="DB80" s="24"/>
      <c r="DC80" s="24"/>
      <c r="DD80" s="24"/>
      <c r="DE80" s="24"/>
      <c r="DF80" s="24"/>
      <c r="DG80" s="24"/>
      <c r="DH80" s="24"/>
      <c r="DI80" s="24"/>
      <c r="DL80" s="24"/>
      <c r="DM80" s="24"/>
      <c r="DN80" s="24"/>
      <c r="DO80" s="24"/>
      <c r="DP80" s="24"/>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row>
    <row r="81" spans="2:158" x14ac:dyDescent="0.35">
      <c r="B81" s="8"/>
      <c r="C81" s="8"/>
      <c r="D81" s="9"/>
      <c r="E81" s="9"/>
      <c r="F81" s="24"/>
      <c r="G81" s="8"/>
      <c r="H81" s="8"/>
      <c r="I81" s="8"/>
      <c r="J81" s="8"/>
      <c r="K81" s="24"/>
      <c r="L81" s="24"/>
      <c r="M81" s="24"/>
      <c r="N81" s="24"/>
      <c r="O81" s="24"/>
      <c r="P81" s="24"/>
      <c r="R81" s="24"/>
      <c r="S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V81" s="24"/>
      <c r="CW81" s="24"/>
      <c r="CX81" s="24"/>
      <c r="CY81" s="24"/>
      <c r="CZ81" s="24"/>
      <c r="DA81" s="24"/>
      <c r="DB81" s="24"/>
      <c r="DC81" s="24"/>
      <c r="DD81" s="24"/>
      <c r="DE81" s="24"/>
      <c r="DF81" s="24"/>
      <c r="DG81" s="24"/>
      <c r="DH81" s="24"/>
      <c r="DI81" s="24"/>
      <c r="DL81" s="24"/>
      <c r="DM81" s="24"/>
      <c r="DN81" s="24"/>
      <c r="DO81" s="24"/>
      <c r="DP81" s="24"/>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row>
    <row r="82" spans="2:158" x14ac:dyDescent="0.35">
      <c r="B82" s="8"/>
      <c r="C82" s="8"/>
      <c r="D82" s="9"/>
      <c r="E82" s="9"/>
      <c r="F82" s="24"/>
      <c r="G82" s="8"/>
      <c r="H82" s="8"/>
      <c r="I82" s="8"/>
      <c r="J82" s="8"/>
      <c r="K82" s="24"/>
      <c r="L82" s="24"/>
      <c r="M82" s="24"/>
      <c r="N82" s="24"/>
      <c r="O82" s="24"/>
      <c r="P82" s="24"/>
      <c r="R82" s="24"/>
      <c r="S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V82" s="24"/>
      <c r="CW82" s="24"/>
      <c r="CX82" s="24"/>
      <c r="CY82" s="24"/>
      <c r="CZ82" s="24"/>
      <c r="DA82" s="24"/>
      <c r="DB82" s="24"/>
      <c r="DC82" s="24"/>
      <c r="DD82" s="24"/>
      <c r="DE82" s="24"/>
      <c r="DF82" s="24"/>
      <c r="DG82" s="24"/>
      <c r="DH82" s="24"/>
      <c r="DI82" s="24"/>
      <c r="DL82" s="24"/>
      <c r="DM82" s="24"/>
      <c r="DN82" s="24"/>
      <c r="DO82" s="24"/>
      <c r="DP82" s="24"/>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row>
    <row r="83" spans="2:158" x14ac:dyDescent="0.35">
      <c r="B83" s="8"/>
      <c r="C83" s="8"/>
      <c r="D83" s="9"/>
      <c r="E83" s="9"/>
      <c r="F83" s="24"/>
      <c r="G83" s="8"/>
      <c r="H83" s="8"/>
      <c r="I83" s="8"/>
      <c r="J83" s="8"/>
      <c r="K83" s="24"/>
      <c r="L83" s="24"/>
      <c r="M83" s="24"/>
      <c r="N83" s="24"/>
      <c r="O83" s="24"/>
      <c r="P83" s="24"/>
      <c r="R83" s="24"/>
      <c r="S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V83" s="24"/>
      <c r="CW83" s="24"/>
      <c r="CX83" s="24"/>
      <c r="CY83" s="24"/>
      <c r="CZ83" s="24"/>
      <c r="DA83" s="24"/>
      <c r="DB83" s="24"/>
      <c r="DC83" s="24"/>
      <c r="DD83" s="24"/>
      <c r="DE83" s="24"/>
      <c r="DF83" s="24"/>
      <c r="DG83" s="24"/>
      <c r="DH83" s="24"/>
      <c r="DI83" s="24"/>
      <c r="DL83" s="24"/>
      <c r="DM83" s="24"/>
      <c r="DN83" s="24"/>
      <c r="DO83" s="24"/>
      <c r="DP83" s="24"/>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row>
    <row r="84" spans="2:158" x14ac:dyDescent="0.35">
      <c r="B84" s="8"/>
      <c r="C84" s="8"/>
      <c r="D84" s="9"/>
      <c r="E84" s="9"/>
      <c r="F84" s="24"/>
      <c r="G84" s="8"/>
      <c r="H84" s="8"/>
      <c r="I84" s="8"/>
      <c r="J84" s="8"/>
      <c r="K84" s="24"/>
      <c r="L84" s="24"/>
      <c r="M84" s="24"/>
      <c r="N84" s="24"/>
      <c r="O84" s="24"/>
      <c r="P84" s="24"/>
      <c r="R84" s="24"/>
      <c r="S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V84" s="24"/>
      <c r="CW84" s="24"/>
      <c r="CX84" s="24"/>
      <c r="CY84" s="24"/>
      <c r="CZ84" s="24"/>
      <c r="DA84" s="24"/>
      <c r="DB84" s="24"/>
      <c r="DC84" s="24"/>
      <c r="DD84" s="24"/>
      <c r="DE84" s="24"/>
      <c r="DF84" s="24"/>
      <c r="DG84" s="24"/>
      <c r="DH84" s="24"/>
      <c r="DI84" s="24"/>
      <c r="DL84" s="24"/>
      <c r="DM84" s="24"/>
      <c r="DN84" s="24"/>
      <c r="DO84" s="24"/>
      <c r="DP84" s="24"/>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row>
    <row r="85" spans="2:158" x14ac:dyDescent="0.35">
      <c r="B85" s="8"/>
      <c r="C85" s="8"/>
      <c r="D85" s="9"/>
      <c r="E85" s="9"/>
      <c r="F85" s="24"/>
      <c r="G85" s="8"/>
      <c r="H85" s="8"/>
      <c r="I85" s="8"/>
      <c r="J85" s="8"/>
      <c r="K85" s="24"/>
      <c r="L85" s="24"/>
      <c r="M85" s="24"/>
      <c r="N85" s="24"/>
      <c r="O85" s="24"/>
      <c r="P85" s="24"/>
      <c r="R85" s="24"/>
      <c r="S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V85" s="24"/>
      <c r="CW85" s="24"/>
      <c r="CX85" s="24"/>
      <c r="CY85" s="24"/>
      <c r="CZ85" s="24"/>
      <c r="DA85" s="24"/>
      <c r="DB85" s="24"/>
      <c r="DC85" s="24"/>
      <c r="DD85" s="24"/>
      <c r="DE85" s="24"/>
      <c r="DF85" s="24"/>
      <c r="DG85" s="24"/>
      <c r="DH85" s="24"/>
      <c r="DI85" s="24"/>
      <c r="DL85" s="24"/>
      <c r="DM85" s="24"/>
      <c r="DN85" s="24"/>
      <c r="DO85" s="24"/>
      <c r="DP85" s="24"/>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row>
    <row r="86" spans="2:158" x14ac:dyDescent="0.35">
      <c r="B86" s="16"/>
      <c r="C86" s="16"/>
      <c r="D86" s="9"/>
      <c r="E86" s="9"/>
      <c r="F86" s="24"/>
      <c r="G86" s="8"/>
      <c r="H86" s="8"/>
      <c r="I86" s="8"/>
      <c r="J86" s="8"/>
      <c r="K86" s="24"/>
      <c r="L86" s="24"/>
      <c r="M86" s="24"/>
      <c r="N86" s="24"/>
      <c r="O86" s="24"/>
      <c r="P86" s="24"/>
      <c r="R86" s="24"/>
      <c r="S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V86" s="24"/>
      <c r="CW86" s="24"/>
      <c r="CX86" s="24"/>
      <c r="CY86" s="24"/>
      <c r="CZ86" s="24"/>
      <c r="DA86" s="24"/>
      <c r="DB86" s="24"/>
      <c r="DC86" s="24"/>
      <c r="DD86" s="24"/>
      <c r="DE86" s="24"/>
      <c r="DF86" s="24"/>
      <c r="DG86" s="24"/>
      <c r="DH86" s="24"/>
      <c r="DI86" s="24"/>
      <c r="DL86" s="24"/>
      <c r="DM86" s="24"/>
      <c r="DN86" s="24"/>
      <c r="DO86" s="24"/>
      <c r="DP86" s="24"/>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row>
    <row r="87" spans="2:158" x14ac:dyDescent="0.35">
      <c r="B87" s="16"/>
      <c r="C87" s="16"/>
      <c r="D87" s="9"/>
      <c r="E87" s="9"/>
      <c r="F87" s="24"/>
      <c r="G87" s="8"/>
      <c r="H87" s="8"/>
      <c r="I87" s="8"/>
      <c r="J87" s="8"/>
      <c r="K87" s="24"/>
      <c r="L87" s="24"/>
      <c r="M87" s="24"/>
      <c r="N87" s="24"/>
      <c r="O87" s="24"/>
      <c r="P87" s="24"/>
      <c r="R87" s="24"/>
      <c r="S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V87" s="24"/>
      <c r="CW87" s="24"/>
      <c r="CX87" s="24"/>
      <c r="CY87" s="24"/>
      <c r="CZ87" s="24"/>
      <c r="DA87" s="24"/>
      <c r="DB87" s="24"/>
      <c r="DC87" s="24"/>
      <c r="DD87" s="24"/>
      <c r="DE87" s="24"/>
      <c r="DF87" s="24"/>
      <c r="DG87" s="24"/>
      <c r="DH87" s="24"/>
      <c r="DI87" s="24"/>
      <c r="DL87" s="24"/>
      <c r="DM87" s="24"/>
      <c r="DN87" s="24"/>
      <c r="DO87" s="24"/>
      <c r="DP87" s="24"/>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row>
    <row r="88" spans="2:158" x14ac:dyDescent="0.35">
      <c r="B88" s="16"/>
      <c r="C88" s="16"/>
      <c r="D88" s="9"/>
      <c r="E88" s="9"/>
      <c r="F88" s="24"/>
      <c r="G88" s="8"/>
      <c r="H88" s="8"/>
      <c r="I88" s="8"/>
      <c r="J88" s="8"/>
      <c r="K88" s="24"/>
      <c r="L88" s="24"/>
      <c r="M88" s="24"/>
      <c r="N88" s="24"/>
      <c r="O88" s="24"/>
      <c r="P88" s="24"/>
      <c r="R88" s="24"/>
      <c r="S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V88" s="24"/>
      <c r="CW88" s="24"/>
      <c r="CX88" s="24"/>
      <c r="CY88" s="24"/>
      <c r="CZ88" s="24"/>
      <c r="DA88" s="24"/>
      <c r="DB88" s="24"/>
      <c r="DC88" s="24"/>
      <c r="DD88" s="24"/>
      <c r="DE88" s="24"/>
      <c r="DF88" s="24"/>
      <c r="DG88" s="24"/>
      <c r="DH88" s="24"/>
      <c r="DI88" s="24"/>
      <c r="DL88" s="24"/>
      <c r="DM88" s="24"/>
      <c r="DN88" s="24"/>
      <c r="DO88" s="24"/>
      <c r="DP88" s="24"/>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row>
    <row r="89" spans="2:158" x14ac:dyDescent="0.35">
      <c r="B89" s="16"/>
      <c r="C89" s="16"/>
      <c r="D89" s="9"/>
      <c r="E89" s="9"/>
      <c r="F89" s="24"/>
      <c r="G89" s="8"/>
      <c r="H89" s="8"/>
      <c r="I89" s="8"/>
      <c r="J89" s="8"/>
      <c r="K89" s="24"/>
      <c r="L89" s="24"/>
      <c r="M89" s="24"/>
      <c r="N89" s="24"/>
      <c r="O89" s="24"/>
      <c r="P89" s="24"/>
      <c r="R89" s="24"/>
      <c r="S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V89" s="24"/>
      <c r="CW89" s="24"/>
      <c r="CX89" s="24"/>
      <c r="CY89" s="24"/>
      <c r="CZ89" s="24"/>
      <c r="DA89" s="24"/>
      <c r="DB89" s="24"/>
      <c r="DC89" s="24"/>
      <c r="DD89" s="24"/>
      <c r="DE89" s="24"/>
      <c r="DF89" s="24"/>
      <c r="DG89" s="24"/>
      <c r="DH89" s="24"/>
      <c r="DI89" s="24"/>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row>
    <row r="90" spans="2:158" x14ac:dyDescent="0.35">
      <c r="B90" s="16"/>
      <c r="C90" s="16"/>
      <c r="D90" s="9"/>
      <c r="E90" s="9"/>
      <c r="F90" s="24"/>
      <c r="G90" s="8"/>
      <c r="H90" s="8"/>
      <c r="I90" s="8"/>
      <c r="J90" s="8"/>
      <c r="K90" s="24"/>
      <c r="L90" s="24"/>
      <c r="M90" s="24"/>
      <c r="N90" s="24"/>
      <c r="O90" s="24"/>
      <c r="P90" s="24"/>
      <c r="R90" s="24"/>
      <c r="S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V90" s="24"/>
      <c r="CW90" s="24"/>
      <c r="CX90" s="24"/>
      <c r="CY90" s="24"/>
      <c r="CZ90" s="24"/>
      <c r="DA90" s="24"/>
      <c r="DB90" s="24"/>
      <c r="DC90" s="24"/>
      <c r="DD90" s="24"/>
      <c r="DE90" s="24"/>
      <c r="DF90" s="24"/>
      <c r="DG90" s="24"/>
      <c r="DH90" s="24"/>
      <c r="DI90" s="24"/>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row>
    <row r="91" spans="2:158" x14ac:dyDescent="0.35">
      <c r="B91" s="16"/>
      <c r="C91" s="16"/>
      <c r="D91" s="9"/>
      <c r="E91" s="9"/>
      <c r="F91" s="24"/>
      <c r="G91" s="8"/>
      <c r="H91" s="8"/>
      <c r="I91" s="8"/>
      <c r="J91" s="8"/>
      <c r="K91" s="24"/>
      <c r="L91" s="24"/>
      <c r="M91" s="24"/>
      <c r="N91" s="24"/>
      <c r="O91" s="24"/>
      <c r="P91" s="24"/>
      <c r="R91" s="24"/>
      <c r="S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V91" s="24"/>
      <c r="CW91" s="24"/>
      <c r="CX91" s="24"/>
      <c r="CY91" s="24"/>
      <c r="CZ91" s="24"/>
      <c r="DA91" s="24"/>
      <c r="DB91" s="24"/>
      <c r="DC91" s="24"/>
      <c r="DD91" s="24"/>
      <c r="DE91" s="24"/>
      <c r="DF91" s="24"/>
      <c r="DG91" s="24"/>
      <c r="DH91" s="24"/>
      <c r="DI91" s="24"/>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row>
    <row r="92" spans="2:158" x14ac:dyDescent="0.35">
      <c r="B92" s="16"/>
      <c r="C92" s="16"/>
      <c r="D92" s="9"/>
      <c r="E92" s="9"/>
      <c r="F92" s="24"/>
      <c r="G92" s="8"/>
      <c r="H92" s="8"/>
      <c r="I92" s="8"/>
      <c r="J92" s="8"/>
      <c r="K92" s="24"/>
      <c r="L92" s="24"/>
      <c r="M92" s="24"/>
      <c r="N92" s="24"/>
      <c r="O92" s="24"/>
      <c r="P92" s="24"/>
      <c r="R92" s="24"/>
      <c r="S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V92" s="24"/>
      <c r="CW92" s="24"/>
      <c r="CX92" s="24"/>
      <c r="CY92" s="24"/>
      <c r="CZ92" s="24"/>
      <c r="DA92" s="24"/>
      <c r="DB92" s="24"/>
      <c r="DC92" s="24"/>
      <c r="DD92" s="24"/>
      <c r="DE92" s="24"/>
      <c r="DF92" s="24"/>
      <c r="DG92" s="24"/>
      <c r="DH92" s="24"/>
      <c r="DI92" s="24"/>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row>
    <row r="93" spans="2:158" x14ac:dyDescent="0.35">
      <c r="B93" s="16"/>
      <c r="C93" s="16"/>
      <c r="D93" s="9"/>
      <c r="E93" s="9"/>
      <c r="F93" s="24"/>
      <c r="G93" s="8"/>
      <c r="H93" s="8"/>
      <c r="I93" s="8"/>
      <c r="J93" s="8"/>
      <c r="K93" s="24"/>
      <c r="L93" s="24"/>
      <c r="M93" s="24"/>
      <c r="N93" s="24"/>
      <c r="O93" s="24"/>
      <c r="P93" s="24"/>
      <c r="R93" s="24"/>
      <c r="S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V93" s="24"/>
      <c r="CW93" s="24"/>
      <c r="CX93" s="24"/>
      <c r="CY93" s="24"/>
      <c r="CZ93" s="24"/>
      <c r="DA93" s="24"/>
      <c r="DB93" s="24"/>
      <c r="DC93" s="24"/>
      <c r="DD93" s="24"/>
      <c r="DE93" s="24"/>
      <c r="DF93" s="24"/>
      <c r="DG93" s="24"/>
      <c r="DH93" s="24"/>
      <c r="DI93" s="24"/>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row>
    <row r="94" spans="2:158" x14ac:dyDescent="0.35">
      <c r="B94" s="16"/>
      <c r="C94" s="16"/>
      <c r="D94" s="9"/>
      <c r="E94" s="9"/>
      <c r="F94" s="24"/>
      <c r="G94" s="8"/>
      <c r="H94" s="8"/>
      <c r="I94" s="8"/>
      <c r="J94" s="8"/>
      <c r="K94" s="24"/>
      <c r="L94" s="24"/>
      <c r="M94" s="24"/>
      <c r="N94" s="24"/>
      <c r="O94" s="24"/>
      <c r="P94" s="24"/>
      <c r="R94" s="24"/>
      <c r="S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V94" s="24"/>
      <c r="CW94" s="24"/>
      <c r="CX94" s="24"/>
      <c r="CY94" s="24"/>
      <c r="CZ94" s="24"/>
      <c r="DA94" s="24"/>
      <c r="DB94" s="24"/>
      <c r="DC94" s="24"/>
      <c r="DD94" s="24"/>
      <c r="DE94" s="24"/>
      <c r="DF94" s="24"/>
      <c r="DG94" s="24"/>
      <c r="DH94" s="24"/>
      <c r="DI94" s="24"/>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row>
    <row r="95" spans="2:158" x14ac:dyDescent="0.35">
      <c r="B95" s="16"/>
      <c r="C95" s="16"/>
      <c r="D95" s="9"/>
      <c r="E95" s="9"/>
      <c r="F95" s="24"/>
      <c r="G95" s="8"/>
      <c r="H95" s="8"/>
      <c r="I95" s="8"/>
      <c r="J95" s="8"/>
      <c r="K95" s="24"/>
      <c r="L95" s="24"/>
      <c r="M95" s="24"/>
      <c r="N95" s="24"/>
      <c r="O95" s="24"/>
      <c r="P95" s="24"/>
      <c r="R95" s="24"/>
      <c r="S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V95" s="24"/>
      <c r="CW95" s="24"/>
      <c r="CX95" s="24"/>
      <c r="CY95" s="24"/>
      <c r="CZ95" s="24"/>
      <c r="DA95" s="24"/>
      <c r="DB95" s="24"/>
      <c r="DC95" s="24"/>
      <c r="DD95" s="24"/>
      <c r="DE95" s="24"/>
      <c r="DF95" s="24"/>
      <c r="DG95" s="24"/>
      <c r="DH95" s="24"/>
      <c r="DI95" s="24"/>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row>
    <row r="96" spans="2:158" x14ac:dyDescent="0.35">
      <c r="B96" s="16"/>
      <c r="C96" s="16"/>
      <c r="D96" s="9"/>
      <c r="E96" s="9"/>
      <c r="F96" s="24"/>
      <c r="G96" s="8"/>
      <c r="H96" s="8"/>
      <c r="I96" s="8"/>
      <c r="J96" s="8"/>
      <c r="K96" s="24"/>
      <c r="L96" s="24"/>
      <c r="M96" s="24"/>
      <c r="N96" s="24"/>
      <c r="O96" s="24"/>
      <c r="P96" s="24"/>
      <c r="R96" s="24"/>
      <c r="S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V96" s="24"/>
      <c r="CW96" s="24"/>
      <c r="CX96" s="24"/>
      <c r="CY96" s="24"/>
      <c r="CZ96" s="24"/>
      <c r="DA96" s="24"/>
      <c r="DB96" s="24"/>
      <c r="DC96" s="24"/>
      <c r="DD96" s="24"/>
      <c r="DE96" s="24"/>
      <c r="DF96" s="24"/>
      <c r="DG96" s="24"/>
      <c r="DH96" s="24"/>
      <c r="DI96" s="24"/>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row>
    <row r="97" spans="2:158" x14ac:dyDescent="0.35">
      <c r="B97" s="8"/>
      <c r="C97" s="8"/>
      <c r="D97" s="8"/>
      <c r="E97" s="8"/>
      <c r="F97" s="24"/>
      <c r="G97" s="8"/>
      <c r="H97" s="8"/>
      <c r="I97" s="8"/>
      <c r="J97" s="8"/>
      <c r="K97" s="24"/>
      <c r="L97" s="24"/>
      <c r="M97" s="24"/>
      <c r="N97" s="24"/>
      <c r="O97" s="24"/>
      <c r="P97" s="24"/>
      <c r="R97" s="24"/>
      <c r="S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V97" s="24"/>
      <c r="CW97" s="24"/>
      <c r="CX97" s="24"/>
      <c r="CY97" s="24"/>
      <c r="CZ97" s="24"/>
      <c r="DA97" s="24"/>
      <c r="DB97" s="24"/>
      <c r="DC97" s="24"/>
      <c r="DD97" s="24"/>
      <c r="DE97" s="24"/>
      <c r="DF97" s="24"/>
      <c r="DG97" s="24"/>
      <c r="DH97" s="24"/>
      <c r="DI97" s="24"/>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row>
    <row r="98" spans="2:158" x14ac:dyDescent="0.35">
      <c r="B98" s="27"/>
      <c r="C98" s="27"/>
      <c r="D98" s="16"/>
      <c r="E98" s="16"/>
      <c r="F98" s="24"/>
      <c r="G98" s="8"/>
      <c r="H98" s="8"/>
      <c r="I98" s="8"/>
      <c r="J98" s="8"/>
      <c r="K98" s="24"/>
      <c r="L98" s="24"/>
      <c r="M98" s="24"/>
      <c r="N98" s="24"/>
      <c r="O98" s="24"/>
      <c r="P98" s="24"/>
      <c r="R98" s="24"/>
      <c r="S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V98" s="24"/>
      <c r="CW98" s="24"/>
      <c r="CX98" s="24"/>
      <c r="CY98" s="24"/>
      <c r="CZ98" s="24"/>
      <c r="DA98" s="24"/>
      <c r="DB98" s="24"/>
      <c r="DC98" s="24"/>
      <c r="DD98" s="24"/>
      <c r="DE98" s="24"/>
      <c r="DF98" s="24"/>
      <c r="DG98" s="24"/>
      <c r="DH98" s="24"/>
      <c r="DI98" s="24"/>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row>
    <row r="99" spans="2:158" x14ac:dyDescent="0.35">
      <c r="B99" s="16"/>
      <c r="C99" s="16"/>
      <c r="D99" s="16"/>
      <c r="E99" s="16"/>
      <c r="F99" s="24"/>
      <c r="G99" s="8"/>
      <c r="H99" s="8"/>
      <c r="I99" s="8"/>
      <c r="J99" s="8"/>
      <c r="K99" s="24"/>
      <c r="L99" s="24"/>
      <c r="M99" s="24"/>
      <c r="N99" s="24"/>
      <c r="O99" s="24"/>
      <c r="P99" s="24"/>
      <c r="R99" s="24"/>
      <c r="S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V99" s="24"/>
      <c r="CW99" s="24"/>
      <c r="CX99" s="24"/>
      <c r="CY99" s="24"/>
      <c r="CZ99" s="24"/>
      <c r="DA99" s="24"/>
      <c r="DB99" s="24"/>
      <c r="DC99" s="24"/>
      <c r="DD99" s="24"/>
      <c r="DE99" s="24"/>
      <c r="DF99" s="24"/>
      <c r="DG99" s="24"/>
      <c r="DH99" s="24"/>
      <c r="DI99" s="24"/>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row>
    <row r="100" spans="2:158" x14ac:dyDescent="0.35">
      <c r="B100" s="16"/>
      <c r="C100" s="16"/>
      <c r="D100" s="16"/>
      <c r="E100" s="16"/>
      <c r="F100" s="24"/>
      <c r="G100" s="8"/>
      <c r="H100" s="8"/>
      <c r="I100" s="8"/>
      <c r="J100" s="8"/>
      <c r="K100" s="24"/>
      <c r="L100" s="24"/>
      <c r="M100" s="24"/>
      <c r="N100" s="24"/>
      <c r="O100" s="24"/>
      <c r="P100" s="24"/>
      <c r="R100" s="24"/>
      <c r="S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V100" s="24"/>
      <c r="CW100" s="24"/>
      <c r="CX100" s="24"/>
      <c r="CY100" s="24"/>
      <c r="CZ100" s="24"/>
      <c r="DA100" s="24"/>
      <c r="DB100" s="24"/>
      <c r="DC100" s="24"/>
      <c r="DD100" s="24"/>
      <c r="DE100" s="24"/>
      <c r="DF100" s="24"/>
      <c r="DG100" s="24"/>
      <c r="DH100" s="24"/>
      <c r="DI100" s="24"/>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row>
    <row r="101" spans="2:158" x14ac:dyDescent="0.35">
      <c r="B101" s="16"/>
      <c r="C101" s="16"/>
      <c r="D101" s="16"/>
      <c r="E101" s="16"/>
      <c r="F101" s="24"/>
      <c r="G101" s="8"/>
      <c r="H101" s="8"/>
      <c r="I101" s="8"/>
      <c r="J101" s="8"/>
      <c r="K101" s="24"/>
      <c r="L101" s="24"/>
      <c r="M101" s="24"/>
      <c r="N101" s="24"/>
      <c r="O101" s="24"/>
      <c r="P101" s="24"/>
      <c r="R101" s="24"/>
      <c r="S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V101" s="24"/>
      <c r="CW101" s="24"/>
      <c r="CX101" s="24"/>
      <c r="CY101" s="24"/>
      <c r="CZ101" s="24"/>
      <c r="DA101" s="24"/>
      <c r="DB101" s="24"/>
      <c r="DC101" s="24"/>
      <c r="DD101" s="24"/>
      <c r="DE101" s="24"/>
      <c r="DF101" s="24"/>
      <c r="DG101" s="24"/>
      <c r="DH101" s="24"/>
      <c r="DI101" s="24"/>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row>
    <row r="102" spans="2:158" x14ac:dyDescent="0.35">
      <c r="B102" s="16"/>
      <c r="C102" s="16"/>
      <c r="D102" s="16"/>
      <c r="E102" s="16"/>
      <c r="F102" s="24"/>
      <c r="G102" s="8"/>
      <c r="H102" s="8"/>
      <c r="I102" s="8"/>
      <c r="J102" s="8"/>
      <c r="K102" s="24"/>
      <c r="L102" s="24"/>
      <c r="M102" s="24"/>
      <c r="N102" s="24"/>
      <c r="O102" s="24"/>
      <c r="P102" s="24"/>
      <c r="R102" s="24"/>
      <c r="S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V102" s="24"/>
      <c r="CW102" s="24"/>
      <c r="CX102" s="24"/>
      <c r="CY102" s="24"/>
      <c r="CZ102" s="24"/>
      <c r="DA102" s="24"/>
      <c r="DB102" s="24"/>
      <c r="DC102" s="24"/>
      <c r="DD102" s="24"/>
      <c r="DE102" s="24"/>
      <c r="DF102" s="24"/>
      <c r="DG102" s="24"/>
      <c r="DH102" s="24"/>
      <c r="DI102" s="24"/>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row>
    <row r="103" spans="2:158" x14ac:dyDescent="0.35">
      <c r="B103" s="16"/>
      <c r="C103" s="16"/>
      <c r="D103" s="16"/>
      <c r="E103" s="16"/>
      <c r="F103" s="24"/>
      <c r="G103" s="8"/>
      <c r="H103" s="8"/>
      <c r="I103" s="8"/>
      <c r="J103" s="8"/>
      <c r="K103" s="24"/>
      <c r="L103" s="24"/>
      <c r="M103" s="24"/>
      <c r="N103" s="24"/>
      <c r="O103" s="24"/>
      <c r="P103" s="24"/>
      <c r="R103" s="24"/>
      <c r="S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V103" s="24"/>
      <c r="CW103" s="24"/>
      <c r="CX103" s="24"/>
      <c r="CY103" s="24"/>
      <c r="CZ103" s="24"/>
      <c r="DA103" s="24"/>
      <c r="DB103" s="24"/>
      <c r="DC103" s="24"/>
      <c r="DD103" s="24"/>
      <c r="DE103" s="24"/>
      <c r="DF103" s="24"/>
      <c r="DG103" s="24"/>
      <c r="DH103" s="24"/>
      <c r="DI103" s="24"/>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row>
    <row r="104" spans="2:158" x14ac:dyDescent="0.35">
      <c r="B104" s="16"/>
      <c r="C104" s="16"/>
      <c r="D104" s="16"/>
      <c r="E104" s="16"/>
      <c r="F104" s="24"/>
      <c r="G104" s="8"/>
      <c r="H104" s="8"/>
      <c r="I104" s="8"/>
      <c r="J104" s="8"/>
      <c r="K104" s="24"/>
      <c r="L104" s="24"/>
      <c r="M104" s="24"/>
      <c r="N104" s="24"/>
      <c r="O104" s="24"/>
      <c r="P104" s="24"/>
      <c r="R104" s="24"/>
      <c r="S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V104" s="24"/>
      <c r="CW104" s="24"/>
      <c r="CX104" s="24"/>
      <c r="CY104" s="24"/>
      <c r="CZ104" s="24"/>
      <c r="DA104" s="24"/>
      <c r="DB104" s="24"/>
      <c r="DC104" s="24"/>
      <c r="DD104" s="24"/>
      <c r="DE104" s="24"/>
      <c r="DF104" s="24"/>
      <c r="DG104" s="24"/>
      <c r="DH104" s="24"/>
      <c r="DI104" s="24"/>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row>
    <row r="105" spans="2:158" x14ac:dyDescent="0.35">
      <c r="B105" s="8"/>
      <c r="C105" s="8"/>
      <c r="D105" s="8"/>
      <c r="E105" s="8"/>
      <c r="F105" s="24"/>
      <c r="G105" s="8"/>
      <c r="H105" s="8"/>
      <c r="I105" s="8"/>
      <c r="J105" s="8"/>
      <c r="K105" s="24"/>
      <c r="L105" s="24"/>
      <c r="M105" s="24"/>
      <c r="N105" s="24"/>
      <c r="O105" s="24"/>
      <c r="P105" s="24"/>
      <c r="R105" s="24"/>
      <c r="S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V105" s="24"/>
      <c r="CW105" s="24"/>
      <c r="CX105" s="24"/>
      <c r="CY105" s="24"/>
      <c r="CZ105" s="24"/>
      <c r="DA105" s="24"/>
      <c r="DB105" s="24"/>
      <c r="DC105" s="24"/>
      <c r="DD105" s="24"/>
      <c r="DE105" s="24"/>
      <c r="DF105" s="24"/>
      <c r="DG105" s="24"/>
      <c r="DH105" s="24"/>
      <c r="DI105" s="24"/>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row>
    <row r="106" spans="2:158" x14ac:dyDescent="0.35">
      <c r="DQ106" s="8"/>
    </row>
  </sheetData>
  <sheetProtection algorithmName="SHA-512" hashValue="ByWGM8wbbWvkeUKVSz3klwSGwNmhgRT6QjBh/nydDXO0W/LHClTQcH9v284+uEVlDz48HOqZgyg3AD1ZgCROmA==" saltValue="6b1sKRU0tB2C7PFeMJpyrg==" spinCount="100000" sheet="1" formatCells="0" formatColumns="0" formatRows="0" sort="0" autoFilter="0" pivotTables="0"/>
  <mergeCells count="10">
    <mergeCell ref="C47:G47"/>
    <mergeCell ref="C55:G55"/>
    <mergeCell ref="B1:G1"/>
    <mergeCell ref="I3:AC3"/>
    <mergeCell ref="AD3:DP3"/>
    <mergeCell ref="C4:C5"/>
    <mergeCell ref="D4:D5"/>
    <mergeCell ref="E4:E5"/>
    <mergeCell ref="F4:F5"/>
    <mergeCell ref="G4:G5"/>
  </mergeCells>
  <hyperlinks>
    <hyperlink ref="C48" r:id="rId1" xr:uid="{B33425E0-3933-46CD-9FB2-4FCA8DE5C515}"/>
    <hyperlink ref="C50" r:id="rId2" display="http://www.vcapcd.org/pubs/Engineering/AirToxics/combem.pdf" xr:uid="{C8BE4DF9-749C-4960-9F2D-C6229C39E5F3}"/>
    <hyperlink ref="C52" r:id="rId3" xr:uid="{9F6C152C-C52F-48B8-A303-24731B2A15CD}"/>
    <hyperlink ref="C58" r:id="rId4" display="http://www.vcapcd.org/pubs/Engineering/AirToxics/combem.pdf" xr:uid="{35D7B084-2C81-4D3A-B89B-193212351464}"/>
    <hyperlink ref="C56" r:id="rId5" xr:uid="{1ECAC099-5EF8-4976-96A6-F462038AC995}"/>
    <hyperlink ref="C54" r:id="rId6" xr:uid="{F129A9C2-C967-4C61-BBF6-C0935DA322B9}"/>
  </hyperlinks>
  <pageMargins left="0.7" right="0.7" top="0.75" bottom="0.75" header="0.3" footer="0.3"/>
  <pageSetup orientation="portrait" horizontalDpi="1200" verticalDpi="120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133"/>
  <sheetViews>
    <sheetView showGridLines="0" tabSelected="1" zoomScaleNormal="100" workbookViewId="0">
      <pane xSplit="7" topLeftCell="H1" activePane="topRight" state="frozen"/>
      <selection pane="topRight" activeCell="B1" sqref="B1:G1"/>
    </sheetView>
  </sheetViews>
  <sheetFormatPr defaultRowHeight="14.5" x14ac:dyDescent="0.35"/>
  <cols>
    <col min="1" max="1" width="1.7265625" customWidth="1"/>
    <col min="2" max="2" width="3.7265625" customWidth="1"/>
    <col min="3" max="3" width="20.1796875" customWidth="1"/>
    <col min="4" max="4" width="26.1796875" style="32" customWidth="1"/>
    <col min="5" max="5" width="55" customWidth="1"/>
    <col min="6" max="6" width="20.1796875" style="32" customWidth="1"/>
    <col min="7" max="7" width="13.1796875" customWidth="1"/>
    <col min="8" max="8" width="23.7265625" bestFit="1" customWidth="1"/>
    <col min="9" max="9" width="11.1796875" hidden="1" customWidth="1"/>
    <col min="10" max="10" width="10.7265625" hidden="1" customWidth="1"/>
    <col min="11" max="11" width="8.7265625" customWidth="1"/>
    <col min="12" max="12" width="8" hidden="1" customWidth="1"/>
    <col min="13" max="13" width="10.81640625" hidden="1" customWidth="1"/>
    <col min="14" max="14" width="10.7265625" bestFit="1" customWidth="1"/>
    <col min="15" max="15" width="14.1796875" bestFit="1" customWidth="1"/>
    <col min="16" max="16" width="18.1796875" bestFit="1" customWidth="1"/>
    <col min="17" max="17" width="8" hidden="1" customWidth="1"/>
    <col min="18" max="18" width="8.54296875" bestFit="1" customWidth="1"/>
    <col min="19" max="19" width="8.26953125" bestFit="1" customWidth="1"/>
    <col min="20" max="20" width="12.7265625" style="8" bestFit="1" customWidth="1"/>
    <col min="21" max="21" width="9.81640625" bestFit="1" customWidth="1"/>
    <col min="22" max="22" width="14.26953125" hidden="1" customWidth="1"/>
    <col min="23" max="23" width="8" customWidth="1"/>
    <col min="24" max="24" width="12.54296875" hidden="1" customWidth="1"/>
    <col min="25" max="25" width="10" customWidth="1"/>
    <col min="26" max="27" width="17.453125" hidden="1" customWidth="1"/>
    <col min="28" max="28" width="10.81640625" hidden="1" customWidth="1"/>
    <col min="29" max="29" width="8" bestFit="1" customWidth="1"/>
    <col min="30" max="30" width="15.453125" bestFit="1" customWidth="1"/>
    <col min="31" max="31" width="17.26953125" bestFit="1" customWidth="1"/>
    <col min="32" max="32" width="14.54296875" bestFit="1" customWidth="1"/>
    <col min="33" max="33" width="12.54296875" hidden="1" customWidth="1"/>
    <col min="34" max="34" width="10" bestFit="1" customWidth="1"/>
    <col min="35" max="35" width="13.26953125" hidden="1" customWidth="1"/>
    <col min="36" max="36" width="10.453125" bestFit="1" customWidth="1"/>
    <col min="37" max="37" width="12.453125" bestFit="1" customWidth="1"/>
    <col min="38" max="38" width="19.54296875" bestFit="1" customWidth="1"/>
    <col min="39" max="39" width="9.1796875" bestFit="1" customWidth="1"/>
    <col min="40" max="40" width="16.453125" bestFit="1" customWidth="1"/>
    <col min="41" max="41" width="22.81640625" bestFit="1" customWidth="1"/>
    <col min="42" max="42" width="16.453125" bestFit="1" customWidth="1"/>
    <col min="43" max="43" width="21.453125" bestFit="1" customWidth="1"/>
    <col min="44" max="44" width="22.7265625" bestFit="1" customWidth="1"/>
    <col min="45" max="45" width="14.7265625" bestFit="1" customWidth="1"/>
    <col min="46" max="46" width="17.26953125" hidden="1" customWidth="1"/>
    <col min="47" max="47" width="22.1796875" bestFit="1" customWidth="1"/>
    <col min="48" max="48" width="9.1796875" customWidth="1"/>
    <col min="49" max="49" width="15.7265625" customWidth="1"/>
    <col min="50" max="50" width="12.1796875" bestFit="1" customWidth="1"/>
    <col min="51" max="51" width="10" bestFit="1" customWidth="1"/>
    <col min="52" max="52" width="8.81640625" hidden="1" customWidth="1"/>
    <col min="53" max="53" width="23.54296875" bestFit="1" customWidth="1"/>
    <col min="54" max="54" width="20" hidden="1" customWidth="1"/>
    <col min="55" max="56" width="21.54296875" bestFit="1" customWidth="1"/>
    <col min="57" max="57" width="21.453125" style="8" bestFit="1" customWidth="1"/>
    <col min="58" max="58" width="12.453125" style="8" customWidth="1"/>
    <col min="59" max="59" width="14.81640625" bestFit="1" customWidth="1"/>
    <col min="60" max="60" width="14.81640625" hidden="1" customWidth="1"/>
    <col min="61" max="61" width="20.7265625" bestFit="1" customWidth="1"/>
    <col min="62" max="62" width="20.7265625" customWidth="1"/>
    <col min="63" max="63" width="14.26953125" bestFit="1" customWidth="1"/>
    <col min="64" max="64" width="9.54296875" bestFit="1" customWidth="1"/>
    <col min="65" max="65" width="15.1796875" bestFit="1" customWidth="1"/>
    <col min="66" max="66" width="42.81640625" hidden="1" customWidth="1"/>
    <col min="67" max="68" width="39.26953125" hidden="1" customWidth="1"/>
    <col min="69" max="71" width="39.81640625" hidden="1" customWidth="1"/>
    <col min="72" max="75" width="36.26953125" hidden="1" customWidth="1"/>
    <col min="76" max="76" width="10.1796875" customWidth="1"/>
    <col min="77" max="77" width="18.7265625" bestFit="1" customWidth="1"/>
    <col min="78" max="79" width="19.1796875" hidden="1" customWidth="1"/>
    <col min="80" max="80" width="24.7265625" bestFit="1" customWidth="1"/>
    <col min="81" max="81" width="10.54296875" bestFit="1" customWidth="1"/>
    <col min="82" max="82" width="17" hidden="1" customWidth="1"/>
    <col min="83" max="83" width="16.81640625" hidden="1" customWidth="1"/>
    <col min="84" max="84" width="20" customWidth="1"/>
    <col min="85" max="85" width="21.54296875" bestFit="1" customWidth="1"/>
    <col min="86" max="86" width="24.453125" customWidth="1"/>
    <col min="87" max="87" width="20.54296875" bestFit="1" customWidth="1"/>
    <col min="88" max="88" width="22.7265625" bestFit="1" customWidth="1"/>
    <col min="89" max="89" width="13.81640625" bestFit="1" customWidth="1"/>
    <col min="90" max="90" width="43.26953125" hidden="1" customWidth="1"/>
    <col min="91" max="91" width="39.7265625" hidden="1" customWidth="1"/>
    <col min="92" max="92" width="25.81640625" bestFit="1" customWidth="1"/>
    <col min="93" max="93" width="39.1796875" hidden="1" customWidth="1"/>
    <col min="94" max="95" width="35.54296875" hidden="1" customWidth="1"/>
    <col min="96" max="96" width="19.453125" bestFit="1" customWidth="1"/>
    <col min="97" max="97" width="11" bestFit="1" customWidth="1"/>
    <col min="98" max="98" width="15.1796875" bestFit="1" customWidth="1"/>
    <col min="99" max="99" width="15.1796875" style="8" hidden="1" customWidth="1"/>
    <col min="100" max="100" width="18.1796875" hidden="1" customWidth="1"/>
    <col min="101" max="101" width="11" customWidth="1"/>
    <col min="102" max="102" width="17.453125" bestFit="1" customWidth="1"/>
    <col min="103" max="103" width="10" bestFit="1" customWidth="1"/>
    <col min="104" max="104" width="9.453125" hidden="1" customWidth="1"/>
    <col min="105" max="105" width="8.54296875" customWidth="1"/>
    <col min="106" max="106" width="36.7265625" hidden="1" customWidth="1"/>
    <col min="107" max="107" width="33.1796875" hidden="1" customWidth="1"/>
    <col min="108" max="108" width="26.81640625" bestFit="1" customWidth="1"/>
    <col min="109" max="109" width="8.81640625" bestFit="1" customWidth="1"/>
    <col min="110" max="110" width="18.7265625" bestFit="1" customWidth="1"/>
    <col min="111" max="111" width="22.453125" bestFit="1" customWidth="1"/>
    <col min="112" max="112" width="24.26953125" bestFit="1" customWidth="1"/>
    <col min="113" max="113" width="24.26953125" hidden="1" customWidth="1"/>
    <col min="114" max="114" width="46.7265625" style="8" hidden="1" customWidth="1"/>
    <col min="115" max="115" width="46" style="8" hidden="1" customWidth="1"/>
    <col min="116" max="116" width="14.7265625" bestFit="1" customWidth="1"/>
    <col min="117" max="117" width="20.26953125" bestFit="1" customWidth="1"/>
    <col min="118" max="118" width="10.54296875" bestFit="1" customWidth="1"/>
    <col min="119" max="119" width="10.1796875" bestFit="1" customWidth="1"/>
    <col min="120" max="120" width="9.54296875" bestFit="1" customWidth="1"/>
  </cols>
  <sheetData>
    <row r="1" spans="2:132" ht="31" x14ac:dyDescent="0.7">
      <c r="B1" s="552" t="s">
        <v>446</v>
      </c>
      <c r="C1" s="552"/>
      <c r="D1" s="552"/>
      <c r="E1" s="552"/>
      <c r="F1" s="552"/>
      <c r="G1" s="552"/>
      <c r="H1" s="518"/>
      <c r="I1" s="506"/>
      <c r="J1" s="506"/>
      <c r="K1" s="32"/>
      <c r="L1" s="32"/>
      <c r="M1" s="32"/>
      <c r="N1" s="32"/>
      <c r="O1" s="32"/>
      <c r="P1" s="32"/>
      <c r="Q1" s="32"/>
      <c r="R1" s="32"/>
      <c r="S1" s="32"/>
      <c r="T1" s="24"/>
      <c r="U1" s="32"/>
      <c r="V1" s="32"/>
      <c r="W1" s="32"/>
      <c r="X1" s="32"/>
      <c r="Y1" s="32"/>
      <c r="Z1" s="32"/>
      <c r="AA1" s="32"/>
      <c r="AB1" s="32"/>
      <c r="AC1" s="32"/>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196"/>
      <c r="BF1" s="196"/>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32"/>
      <c r="CG1" s="32"/>
      <c r="CH1" s="25"/>
      <c r="CI1" s="25"/>
      <c r="CJ1" s="25"/>
      <c r="CK1" s="25"/>
      <c r="CL1" s="25"/>
      <c r="CM1" s="25"/>
      <c r="CN1" s="25"/>
      <c r="CO1" s="25"/>
      <c r="CP1" s="25"/>
      <c r="CQ1" s="25"/>
      <c r="CR1" s="25"/>
      <c r="CS1" s="25"/>
      <c r="CT1" s="25"/>
      <c r="CU1" s="196"/>
      <c r="CV1" s="25"/>
      <c r="CW1" s="25"/>
      <c r="CX1" s="25"/>
      <c r="CY1" s="32"/>
      <c r="CZ1" s="32"/>
      <c r="DA1" s="25"/>
      <c r="DB1" s="25"/>
      <c r="DC1" s="25"/>
      <c r="DD1" s="25"/>
      <c r="DE1" s="25"/>
      <c r="DF1" s="25"/>
      <c r="DG1" s="25"/>
      <c r="DH1" s="32"/>
      <c r="DI1" s="32"/>
      <c r="DJ1" s="24"/>
      <c r="DK1" s="24"/>
      <c r="DL1" s="25"/>
      <c r="DM1" s="25"/>
      <c r="DN1" s="25"/>
      <c r="DO1" s="25"/>
      <c r="DP1" s="25"/>
      <c r="DQ1" s="25"/>
    </row>
    <row r="2" spans="2:132" ht="13.5" customHeight="1" thickBot="1" x14ac:dyDescent="0.7">
      <c r="K2" s="32"/>
      <c r="L2" s="79"/>
      <c r="M2" s="79"/>
      <c r="N2" s="79"/>
      <c r="O2" s="79"/>
      <c r="P2" s="79"/>
      <c r="Q2" s="79"/>
      <c r="R2" s="79"/>
      <c r="S2" s="79"/>
      <c r="T2" s="197"/>
      <c r="U2" s="79"/>
      <c r="V2" s="79"/>
      <c r="W2" s="79"/>
      <c r="X2" s="79"/>
      <c r="Y2" s="79"/>
      <c r="Z2" s="79"/>
      <c r="AA2" s="79"/>
      <c r="AB2" s="79"/>
      <c r="AC2" s="79"/>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2"/>
      <c r="BF2" s="22"/>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32"/>
      <c r="CG2" s="32"/>
      <c r="CH2" s="26"/>
      <c r="CI2" s="26"/>
      <c r="CJ2" s="26"/>
      <c r="CK2" s="26"/>
      <c r="CL2" s="26"/>
      <c r="CM2" s="26"/>
      <c r="CN2" s="26"/>
      <c r="CO2" s="26"/>
      <c r="CP2" s="26"/>
      <c r="CQ2" s="26"/>
      <c r="CR2" s="26"/>
      <c r="CS2" s="26"/>
      <c r="CT2" s="26"/>
      <c r="CU2" s="22"/>
      <c r="CV2" s="26"/>
      <c r="CW2" s="26"/>
      <c r="CX2" s="26"/>
      <c r="CY2" s="32"/>
      <c r="CZ2" s="32"/>
      <c r="DA2" s="26"/>
      <c r="DB2" s="26"/>
      <c r="DC2" s="26"/>
      <c r="DD2" s="26"/>
      <c r="DE2" s="26"/>
      <c r="DF2" s="26"/>
      <c r="DG2" s="26"/>
      <c r="DH2" s="32"/>
      <c r="DI2" s="32"/>
      <c r="DJ2" s="24"/>
      <c r="DK2" s="24"/>
      <c r="DL2" s="26"/>
      <c r="DM2" s="26"/>
      <c r="DN2" s="26"/>
      <c r="DO2" s="26"/>
      <c r="DP2" s="26"/>
      <c r="DQ2" s="26"/>
    </row>
    <row r="3" spans="2:132" ht="21.5" thickBot="1" x14ac:dyDescent="0.55000000000000004">
      <c r="B3" s="44"/>
      <c r="C3" s="44"/>
      <c r="G3" s="145"/>
      <c r="H3" s="524" t="s">
        <v>388</v>
      </c>
      <c r="I3" s="554" t="s">
        <v>88</v>
      </c>
      <c r="J3" s="554"/>
      <c r="K3" s="554"/>
      <c r="L3" s="554"/>
      <c r="M3" s="554"/>
      <c r="N3" s="554"/>
      <c r="O3" s="554"/>
      <c r="P3" s="554"/>
      <c r="Q3" s="554"/>
      <c r="R3" s="554"/>
      <c r="S3" s="554"/>
      <c r="T3" s="554"/>
      <c r="U3" s="554"/>
      <c r="V3" s="554"/>
      <c r="W3" s="554"/>
      <c r="X3" s="554"/>
      <c r="Y3" s="554"/>
      <c r="Z3" s="554"/>
      <c r="AA3" s="554"/>
      <c r="AB3" s="554"/>
      <c r="AC3" s="555"/>
      <c r="AD3" s="553" t="s">
        <v>195</v>
      </c>
      <c r="AE3" s="554"/>
      <c r="AF3" s="554"/>
      <c r="AG3" s="554"/>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554"/>
      <c r="BO3" s="554"/>
      <c r="BP3" s="554"/>
      <c r="BQ3" s="554"/>
      <c r="BR3" s="554"/>
      <c r="BS3" s="554"/>
      <c r="BT3" s="554"/>
      <c r="BU3" s="554"/>
      <c r="BV3" s="554"/>
      <c r="BW3" s="554"/>
      <c r="BX3" s="554"/>
      <c r="BY3" s="554"/>
      <c r="BZ3" s="554"/>
      <c r="CA3" s="554"/>
      <c r="CB3" s="554"/>
      <c r="CC3" s="554"/>
      <c r="CD3" s="554"/>
      <c r="CE3" s="554"/>
      <c r="CF3" s="554"/>
      <c r="CG3" s="554"/>
      <c r="CH3" s="554"/>
      <c r="CI3" s="554"/>
      <c r="CJ3" s="554"/>
      <c r="CK3" s="554"/>
      <c r="CL3" s="554"/>
      <c r="CM3" s="554"/>
      <c r="CN3" s="554"/>
      <c r="CO3" s="554"/>
      <c r="CP3" s="554"/>
      <c r="CQ3" s="554"/>
      <c r="CR3" s="554"/>
      <c r="CS3" s="554"/>
      <c r="CT3" s="554"/>
      <c r="CU3" s="554"/>
      <c r="CV3" s="554"/>
      <c r="CW3" s="554"/>
      <c r="CX3" s="554"/>
      <c r="CY3" s="554"/>
      <c r="CZ3" s="554"/>
      <c r="DA3" s="554"/>
      <c r="DB3" s="554"/>
      <c r="DC3" s="554"/>
      <c r="DD3" s="554"/>
      <c r="DE3" s="554"/>
      <c r="DF3" s="554"/>
      <c r="DG3" s="554"/>
      <c r="DH3" s="554"/>
      <c r="DI3" s="554"/>
      <c r="DJ3" s="554"/>
      <c r="DK3" s="554"/>
      <c r="DL3" s="554"/>
      <c r="DM3" s="554"/>
      <c r="DN3" s="554"/>
      <c r="DO3" s="554"/>
      <c r="DP3" s="555"/>
      <c r="DQ3" s="45"/>
    </row>
    <row r="4" spans="2:132" ht="15.75" customHeight="1" x14ac:dyDescent="0.35">
      <c r="B4" s="568"/>
      <c r="C4" s="556" t="s">
        <v>0</v>
      </c>
      <c r="D4" s="558" t="s">
        <v>326</v>
      </c>
      <c r="E4" s="570" t="s">
        <v>1</v>
      </c>
      <c r="F4" s="562" t="s">
        <v>2</v>
      </c>
      <c r="G4" s="564" t="s">
        <v>142</v>
      </c>
      <c r="H4" s="525" t="s">
        <v>389</v>
      </c>
      <c r="I4" s="240" t="s">
        <v>125</v>
      </c>
      <c r="J4" s="240" t="s">
        <v>254</v>
      </c>
      <c r="K4" s="1" t="s">
        <v>3</v>
      </c>
      <c r="L4" s="67" t="s">
        <v>4</v>
      </c>
      <c r="M4" s="1" t="s">
        <v>5</v>
      </c>
      <c r="N4" s="1" t="s">
        <v>6</v>
      </c>
      <c r="O4" s="1" t="s">
        <v>150</v>
      </c>
      <c r="P4" s="67" t="s">
        <v>151</v>
      </c>
      <c r="Q4" s="322" t="s">
        <v>7</v>
      </c>
      <c r="R4" s="1" t="s">
        <v>8</v>
      </c>
      <c r="S4" s="1" t="s">
        <v>9</v>
      </c>
      <c r="T4" s="1" t="s">
        <v>10</v>
      </c>
      <c r="U4" s="1" t="s">
        <v>11</v>
      </c>
      <c r="V4" s="67" t="s">
        <v>12</v>
      </c>
      <c r="W4" s="1" t="s">
        <v>13</v>
      </c>
      <c r="X4" s="67" t="s">
        <v>127</v>
      </c>
      <c r="Y4" s="1" t="s">
        <v>14</v>
      </c>
      <c r="Z4" s="1" t="s">
        <v>126</v>
      </c>
      <c r="AA4" s="1" t="s">
        <v>348</v>
      </c>
      <c r="AB4" s="1" t="s">
        <v>15</v>
      </c>
      <c r="AC4" s="72" t="s">
        <v>16</v>
      </c>
      <c r="AD4" s="142" t="s">
        <v>17</v>
      </c>
      <c r="AE4" s="67" t="s">
        <v>18</v>
      </c>
      <c r="AF4" s="1" t="s">
        <v>19</v>
      </c>
      <c r="AG4" s="67" t="s">
        <v>120</v>
      </c>
      <c r="AH4" s="1" t="s">
        <v>20</v>
      </c>
      <c r="AI4" s="1" t="s">
        <v>121</v>
      </c>
      <c r="AJ4" s="1" t="s">
        <v>21</v>
      </c>
      <c r="AK4" s="67" t="s">
        <v>22</v>
      </c>
      <c r="AL4" s="1" t="s">
        <v>23</v>
      </c>
      <c r="AM4" s="1" t="s">
        <v>24</v>
      </c>
      <c r="AN4" s="1" t="s">
        <v>25</v>
      </c>
      <c r="AO4" s="1" t="s">
        <v>26</v>
      </c>
      <c r="AP4" s="67" t="s">
        <v>27</v>
      </c>
      <c r="AQ4" s="67" t="s">
        <v>199</v>
      </c>
      <c r="AR4" s="1" t="s">
        <v>28</v>
      </c>
      <c r="AS4" s="1" t="s">
        <v>152</v>
      </c>
      <c r="AT4" s="1" t="s">
        <v>314</v>
      </c>
      <c r="AU4" s="1" t="s">
        <v>29</v>
      </c>
      <c r="AV4" s="1" t="s">
        <v>109</v>
      </c>
      <c r="AW4" s="1" t="s">
        <v>94</v>
      </c>
      <c r="AX4" s="1" t="s">
        <v>30</v>
      </c>
      <c r="AY4" s="1" t="s">
        <v>31</v>
      </c>
      <c r="AZ4" s="67" t="s">
        <v>318</v>
      </c>
      <c r="BA4" s="1" t="s">
        <v>93</v>
      </c>
      <c r="BB4" s="1" t="s">
        <v>178</v>
      </c>
      <c r="BC4" s="67" t="s">
        <v>153</v>
      </c>
      <c r="BD4" s="67" t="s">
        <v>154</v>
      </c>
      <c r="BE4" s="1" t="s">
        <v>220</v>
      </c>
      <c r="BF4" s="1" t="s">
        <v>179</v>
      </c>
      <c r="BG4" s="1" t="s">
        <v>155</v>
      </c>
      <c r="BH4" s="1" t="s">
        <v>316</v>
      </c>
      <c r="BI4" s="1" t="s">
        <v>32</v>
      </c>
      <c r="BJ4" s="1" t="s">
        <v>222</v>
      </c>
      <c r="BK4" s="67" t="s">
        <v>33</v>
      </c>
      <c r="BL4" s="67" t="s">
        <v>34</v>
      </c>
      <c r="BM4" s="1" t="s">
        <v>35</v>
      </c>
      <c r="BN4" s="1" t="s">
        <v>241</v>
      </c>
      <c r="BO4" s="1" t="s">
        <v>243</v>
      </c>
      <c r="BP4" s="1" t="s">
        <v>244</v>
      </c>
      <c r="BQ4" s="1" t="s">
        <v>238</v>
      </c>
      <c r="BR4" s="1" t="s">
        <v>239</v>
      </c>
      <c r="BS4" s="1" t="s">
        <v>240</v>
      </c>
      <c r="BT4" s="1" t="s">
        <v>245</v>
      </c>
      <c r="BU4" s="1" t="s">
        <v>246</v>
      </c>
      <c r="BV4" s="1" t="s">
        <v>247</v>
      </c>
      <c r="BW4" s="1" t="s">
        <v>248</v>
      </c>
      <c r="BX4" s="1" t="s">
        <v>40</v>
      </c>
      <c r="BY4" s="1" t="s">
        <v>90</v>
      </c>
      <c r="BZ4" s="1" t="s">
        <v>224</v>
      </c>
      <c r="CA4" s="322" t="s">
        <v>376</v>
      </c>
      <c r="CB4" s="1" t="s">
        <v>36</v>
      </c>
      <c r="CC4" s="1" t="s">
        <v>37</v>
      </c>
      <c r="CD4" s="1" t="s">
        <v>315</v>
      </c>
      <c r="CE4" s="67" t="s">
        <v>317</v>
      </c>
      <c r="CF4" s="1" t="s">
        <v>92</v>
      </c>
      <c r="CG4" s="1" t="s">
        <v>156</v>
      </c>
      <c r="CH4" s="1" t="s">
        <v>157</v>
      </c>
      <c r="CI4" s="1" t="s">
        <v>38</v>
      </c>
      <c r="CJ4" s="67" t="s">
        <v>158</v>
      </c>
      <c r="CK4" s="1" t="s">
        <v>39</v>
      </c>
      <c r="CL4" s="1" t="s">
        <v>242</v>
      </c>
      <c r="CM4" s="1" t="s">
        <v>249</v>
      </c>
      <c r="CN4" s="1" t="s">
        <v>198</v>
      </c>
      <c r="CO4" s="1" t="s">
        <v>237</v>
      </c>
      <c r="CP4" s="1" t="s">
        <v>250</v>
      </c>
      <c r="CQ4" s="1" t="s">
        <v>251</v>
      </c>
      <c r="CR4" s="1" t="s">
        <v>91</v>
      </c>
      <c r="CS4" s="67" t="s">
        <v>41</v>
      </c>
      <c r="CT4" s="67" t="s">
        <v>42</v>
      </c>
      <c r="CU4" s="1" t="s">
        <v>329</v>
      </c>
      <c r="CV4" s="67" t="s">
        <v>253</v>
      </c>
      <c r="CW4" s="1" t="s">
        <v>82</v>
      </c>
      <c r="CX4" s="1" t="s">
        <v>83</v>
      </c>
      <c r="CY4" s="67" t="s">
        <v>43</v>
      </c>
      <c r="CZ4" s="67" t="s">
        <v>235</v>
      </c>
      <c r="DA4" s="1" t="s">
        <v>44</v>
      </c>
      <c r="DB4" s="1" t="s">
        <v>236</v>
      </c>
      <c r="DC4" s="1" t="s">
        <v>252</v>
      </c>
      <c r="DD4" s="1" t="s">
        <v>160</v>
      </c>
      <c r="DE4" s="1" t="s">
        <v>45</v>
      </c>
      <c r="DF4" s="1" t="s">
        <v>122</v>
      </c>
      <c r="DG4" s="1" t="s">
        <v>161</v>
      </c>
      <c r="DH4" s="67" t="s">
        <v>162</v>
      </c>
      <c r="DI4" s="67" t="s">
        <v>223</v>
      </c>
      <c r="DJ4" s="1" t="s">
        <v>303</v>
      </c>
      <c r="DK4" s="1" t="s">
        <v>304</v>
      </c>
      <c r="DL4" s="1" t="s">
        <v>46</v>
      </c>
      <c r="DM4" s="1" t="s">
        <v>211</v>
      </c>
      <c r="DN4" s="1" t="s">
        <v>163</v>
      </c>
      <c r="DO4" s="1" t="s">
        <v>164</v>
      </c>
      <c r="DP4" s="2" t="s">
        <v>165</v>
      </c>
      <c r="DQ4" s="14"/>
      <c r="DR4" s="8"/>
      <c r="DS4" s="8"/>
      <c r="DT4" s="8"/>
      <c r="DU4" s="8"/>
      <c r="DV4" s="8"/>
      <c r="DW4" s="8"/>
      <c r="DX4" s="8"/>
      <c r="DY4" s="8"/>
      <c r="DZ4" s="8"/>
      <c r="EA4" s="8"/>
      <c r="EB4" s="8"/>
    </row>
    <row r="5" spans="2:132" ht="15.75" customHeight="1" thickBot="1" x14ac:dyDescent="0.4">
      <c r="B5" s="569"/>
      <c r="C5" s="557"/>
      <c r="D5" s="559"/>
      <c r="E5" s="571"/>
      <c r="F5" s="563"/>
      <c r="G5" s="565"/>
      <c r="H5" s="526">
        <v>7446095</v>
      </c>
      <c r="I5" s="78">
        <v>7429905</v>
      </c>
      <c r="J5" s="78">
        <v>7440360</v>
      </c>
      <c r="K5" s="5">
        <v>7440382</v>
      </c>
      <c r="L5" s="78">
        <v>7440393</v>
      </c>
      <c r="M5" s="5">
        <v>7440417</v>
      </c>
      <c r="N5" s="5">
        <v>7440439</v>
      </c>
      <c r="O5" s="5">
        <v>18540299</v>
      </c>
      <c r="P5" s="78">
        <v>7440473</v>
      </c>
      <c r="Q5" s="323">
        <v>7440484</v>
      </c>
      <c r="R5" s="5">
        <v>7440508</v>
      </c>
      <c r="S5" s="5">
        <v>7439921</v>
      </c>
      <c r="T5" s="5">
        <v>7439965</v>
      </c>
      <c r="U5" s="5">
        <v>7439976</v>
      </c>
      <c r="V5" s="78">
        <v>7439987</v>
      </c>
      <c r="W5" s="5">
        <v>7440020</v>
      </c>
      <c r="X5" s="78">
        <v>7723140</v>
      </c>
      <c r="Y5" s="5">
        <v>7782492</v>
      </c>
      <c r="Z5" s="5">
        <v>1175</v>
      </c>
      <c r="AA5" s="5">
        <v>9960</v>
      </c>
      <c r="AB5" s="5">
        <v>7440622</v>
      </c>
      <c r="AC5" s="91">
        <v>7440666</v>
      </c>
      <c r="AD5" s="143">
        <v>83329</v>
      </c>
      <c r="AE5" s="78">
        <v>208968</v>
      </c>
      <c r="AF5" s="5">
        <v>75070</v>
      </c>
      <c r="AG5" s="78">
        <v>75058</v>
      </c>
      <c r="AH5" s="5">
        <v>107028</v>
      </c>
      <c r="AI5" s="5">
        <v>107131</v>
      </c>
      <c r="AJ5" s="5">
        <v>7664417</v>
      </c>
      <c r="AK5" s="78">
        <v>120127</v>
      </c>
      <c r="AL5" s="5">
        <v>56553</v>
      </c>
      <c r="AM5" s="5">
        <v>71432</v>
      </c>
      <c r="AN5" s="5">
        <v>50328</v>
      </c>
      <c r="AO5" s="5">
        <v>205992</v>
      </c>
      <c r="AP5" s="78">
        <v>192972</v>
      </c>
      <c r="AQ5" s="78">
        <v>191242</v>
      </c>
      <c r="AR5" s="5">
        <v>207089</v>
      </c>
      <c r="AS5" s="5">
        <v>106990</v>
      </c>
      <c r="AT5" s="5">
        <v>75150</v>
      </c>
      <c r="AU5" s="5">
        <v>56235</v>
      </c>
      <c r="AV5" s="5">
        <v>7782505</v>
      </c>
      <c r="AW5" s="5">
        <v>108907</v>
      </c>
      <c r="AX5" s="5">
        <v>67663</v>
      </c>
      <c r="AY5" s="5">
        <v>218019</v>
      </c>
      <c r="AZ5" s="78">
        <v>98828</v>
      </c>
      <c r="BA5" s="5">
        <v>53703</v>
      </c>
      <c r="BB5" s="5">
        <v>75343</v>
      </c>
      <c r="BC5" s="78">
        <v>78875</v>
      </c>
      <c r="BD5" s="78">
        <v>542756</v>
      </c>
      <c r="BE5" s="5">
        <v>106467</v>
      </c>
      <c r="BF5" s="5">
        <v>123911</v>
      </c>
      <c r="BG5" s="5">
        <v>100414</v>
      </c>
      <c r="BH5" s="5">
        <v>75003</v>
      </c>
      <c r="BI5" s="5">
        <v>106934</v>
      </c>
      <c r="BJ5" s="5">
        <v>107062</v>
      </c>
      <c r="BK5" s="78">
        <v>206440</v>
      </c>
      <c r="BL5" s="78">
        <v>86737</v>
      </c>
      <c r="BM5" s="5">
        <v>50000</v>
      </c>
      <c r="BN5" s="5">
        <v>35822469</v>
      </c>
      <c r="BO5" s="5">
        <v>67562394</v>
      </c>
      <c r="BP5" s="5">
        <v>55673897</v>
      </c>
      <c r="BQ5" s="5">
        <v>39227286</v>
      </c>
      <c r="BR5" s="5">
        <v>57653857</v>
      </c>
      <c r="BS5" s="5">
        <v>19408743</v>
      </c>
      <c r="BT5" s="5">
        <v>70648269</v>
      </c>
      <c r="BU5" s="5">
        <v>57117449</v>
      </c>
      <c r="BV5" s="5">
        <v>72918219</v>
      </c>
      <c r="BW5" s="5">
        <v>60851345</v>
      </c>
      <c r="BX5" s="5">
        <v>110543</v>
      </c>
      <c r="BY5" s="5">
        <v>7647010</v>
      </c>
      <c r="BZ5" s="5">
        <v>7664393</v>
      </c>
      <c r="CA5" s="323">
        <v>7783064</v>
      </c>
      <c r="CB5" s="5">
        <v>193395</v>
      </c>
      <c r="CC5" s="5">
        <v>67561</v>
      </c>
      <c r="CD5" s="5">
        <v>74839</v>
      </c>
      <c r="CE5" s="78">
        <v>74873</v>
      </c>
      <c r="CF5" s="5">
        <v>71556</v>
      </c>
      <c r="CG5" s="5">
        <v>78933</v>
      </c>
      <c r="CH5" s="5">
        <v>1634044</v>
      </c>
      <c r="CI5" s="5">
        <v>75092</v>
      </c>
      <c r="CJ5" s="78">
        <v>91576</v>
      </c>
      <c r="CK5" s="5">
        <v>91203</v>
      </c>
      <c r="CL5" s="5">
        <v>3268879</v>
      </c>
      <c r="CM5" s="5">
        <v>39001020</v>
      </c>
      <c r="CN5" s="5" t="s">
        <v>159</v>
      </c>
      <c r="CO5" s="5">
        <v>40321764</v>
      </c>
      <c r="CP5" s="5">
        <v>57117416</v>
      </c>
      <c r="CQ5" s="5">
        <v>57117314</v>
      </c>
      <c r="CR5" s="5">
        <v>127184</v>
      </c>
      <c r="CS5" s="78">
        <v>198550</v>
      </c>
      <c r="CT5" s="78">
        <v>85018</v>
      </c>
      <c r="CU5" s="5">
        <v>108952</v>
      </c>
      <c r="CV5" s="78">
        <v>123386</v>
      </c>
      <c r="CW5" s="5">
        <v>115071</v>
      </c>
      <c r="CX5" s="5">
        <v>75569</v>
      </c>
      <c r="CY5" s="78">
        <v>129000</v>
      </c>
      <c r="CZ5" s="78">
        <v>106514</v>
      </c>
      <c r="DA5" s="5">
        <v>100425</v>
      </c>
      <c r="DB5" s="5">
        <v>1746016</v>
      </c>
      <c r="DC5" s="5">
        <v>51207319</v>
      </c>
      <c r="DD5" s="5">
        <v>79345</v>
      </c>
      <c r="DE5" s="5">
        <v>108883</v>
      </c>
      <c r="DF5" s="5">
        <v>79016</v>
      </c>
      <c r="DG5" s="5">
        <v>79005</v>
      </c>
      <c r="DH5" s="78">
        <v>95636</v>
      </c>
      <c r="DI5" s="78">
        <v>540841</v>
      </c>
      <c r="DJ5" s="5">
        <v>1085</v>
      </c>
      <c r="DK5" s="5">
        <v>1080</v>
      </c>
      <c r="DL5" s="5">
        <v>75014</v>
      </c>
      <c r="DM5" s="5">
        <v>75354</v>
      </c>
      <c r="DN5" s="5">
        <v>1330207</v>
      </c>
      <c r="DO5" s="5">
        <v>108383</v>
      </c>
      <c r="DP5" s="6">
        <v>95476</v>
      </c>
      <c r="DQ5" s="14"/>
      <c r="DR5" s="8"/>
      <c r="DS5" s="8"/>
      <c r="DT5" s="8"/>
      <c r="DU5" s="8"/>
      <c r="DV5" s="8"/>
      <c r="DW5" s="8"/>
      <c r="DX5" s="8"/>
      <c r="DY5" s="8"/>
      <c r="DZ5" s="8"/>
      <c r="EA5" s="8"/>
      <c r="EB5" s="8"/>
    </row>
    <row r="6" spans="2:132" x14ac:dyDescent="0.35">
      <c r="B6" s="123"/>
      <c r="C6" s="278" t="s">
        <v>170</v>
      </c>
      <c r="D6" s="85"/>
      <c r="E6" s="133"/>
      <c r="F6" s="83"/>
      <c r="G6" s="20"/>
      <c r="H6" s="532"/>
      <c r="I6" s="71"/>
      <c r="J6" s="71"/>
      <c r="K6" s="51"/>
      <c r="L6" s="68"/>
      <c r="M6" s="51"/>
      <c r="N6" s="51"/>
      <c r="O6" s="51"/>
      <c r="P6" s="68"/>
      <c r="Q6" s="438"/>
      <c r="R6" s="51"/>
      <c r="S6" s="51"/>
      <c r="T6" s="51"/>
      <c r="U6" s="51"/>
      <c r="V6" s="68"/>
      <c r="W6" s="51"/>
      <c r="X6" s="68"/>
      <c r="Y6" s="51"/>
      <c r="Z6" s="51"/>
      <c r="AA6" s="51"/>
      <c r="AB6" s="51"/>
      <c r="AC6" s="73"/>
      <c r="AD6" s="326"/>
      <c r="AE6" s="68"/>
      <c r="AF6" s="51"/>
      <c r="AG6" s="68"/>
      <c r="AH6" s="51"/>
      <c r="AI6" s="51"/>
      <c r="AJ6" s="51"/>
      <c r="AK6" s="68"/>
      <c r="AL6" s="51"/>
      <c r="AM6" s="51"/>
      <c r="AN6" s="51"/>
      <c r="AO6" s="51"/>
      <c r="AP6" s="68"/>
      <c r="AQ6" s="68"/>
      <c r="AR6" s="51"/>
      <c r="AS6" s="51"/>
      <c r="AT6" s="51"/>
      <c r="AU6" s="51"/>
      <c r="AV6" s="51"/>
      <c r="AW6" s="51"/>
      <c r="AX6" s="51"/>
      <c r="AY6" s="51"/>
      <c r="AZ6" s="68"/>
      <c r="BA6" s="51"/>
      <c r="BB6" s="51"/>
      <c r="BC6" s="68"/>
      <c r="BD6" s="68"/>
      <c r="BE6" s="51"/>
      <c r="BF6" s="51"/>
      <c r="BG6" s="51"/>
      <c r="BH6" s="51"/>
      <c r="BI6" s="51"/>
      <c r="BJ6" s="51"/>
      <c r="BK6" s="68"/>
      <c r="BL6" s="68"/>
      <c r="BM6" s="51"/>
      <c r="BN6" s="51"/>
      <c r="BO6" s="51"/>
      <c r="BP6" s="51"/>
      <c r="BQ6" s="51"/>
      <c r="BR6" s="51"/>
      <c r="BS6" s="51"/>
      <c r="BT6" s="51"/>
      <c r="BU6" s="51"/>
      <c r="BV6" s="51"/>
      <c r="BW6" s="51"/>
      <c r="BX6" s="51"/>
      <c r="BY6" s="51"/>
      <c r="BZ6" s="51"/>
      <c r="CA6" s="51"/>
      <c r="CB6" s="51"/>
      <c r="CC6" s="51"/>
      <c r="CD6" s="51"/>
      <c r="CE6" s="68"/>
      <c r="CF6" s="51"/>
      <c r="CG6" s="51"/>
      <c r="CH6" s="51"/>
      <c r="CI6" s="51"/>
      <c r="CJ6" s="68"/>
      <c r="CK6" s="51"/>
      <c r="CL6" s="51"/>
      <c r="CM6" s="51"/>
      <c r="CN6" s="51"/>
      <c r="CO6" s="51"/>
      <c r="CP6" s="51"/>
      <c r="CQ6" s="51"/>
      <c r="CR6" s="51"/>
      <c r="CS6" s="68"/>
      <c r="CT6" s="68"/>
      <c r="CU6" s="51"/>
      <c r="CV6" s="68"/>
      <c r="CW6" s="51"/>
      <c r="CX6" s="51"/>
      <c r="CY6" s="68"/>
      <c r="CZ6" s="68"/>
      <c r="DA6" s="51"/>
      <c r="DB6" s="51"/>
      <c r="DC6" s="51"/>
      <c r="DD6" s="51"/>
      <c r="DE6" s="51"/>
      <c r="DF6" s="51"/>
      <c r="DG6" s="51"/>
      <c r="DH6" s="68"/>
      <c r="DI6" s="68"/>
      <c r="DJ6" s="51"/>
      <c r="DK6" s="51"/>
      <c r="DL6" s="51"/>
      <c r="DM6" s="51"/>
      <c r="DN6" s="51"/>
      <c r="DO6" s="19"/>
      <c r="DP6" s="20"/>
      <c r="DQ6" s="14"/>
      <c r="DR6" s="8"/>
      <c r="DS6" s="8"/>
      <c r="DT6" s="8"/>
      <c r="DU6" s="8"/>
      <c r="DV6" s="8"/>
      <c r="DW6" s="8"/>
      <c r="DX6" s="8"/>
      <c r="DY6" s="8"/>
      <c r="DZ6" s="8"/>
      <c r="EA6" s="8"/>
      <c r="EB6" s="8"/>
    </row>
    <row r="7" spans="2:132" ht="16.5" x14ac:dyDescent="0.35">
      <c r="B7" s="124"/>
      <c r="C7" s="222"/>
      <c r="D7" s="24">
        <v>20201011</v>
      </c>
      <c r="E7" s="122" t="s">
        <v>373</v>
      </c>
      <c r="F7" s="54" t="s">
        <v>382</v>
      </c>
      <c r="G7" s="314" t="s">
        <v>145</v>
      </c>
      <c r="H7" s="548" t="s">
        <v>456</v>
      </c>
      <c r="I7" s="69" t="s">
        <v>78</v>
      </c>
      <c r="J7" s="69" t="s">
        <v>78</v>
      </c>
      <c r="K7" s="17" t="s">
        <v>78</v>
      </c>
      <c r="L7" s="69" t="s">
        <v>78</v>
      </c>
      <c r="M7" s="17" t="s">
        <v>78</v>
      </c>
      <c r="N7" s="17" t="s">
        <v>78</v>
      </c>
      <c r="O7" s="17" t="s">
        <v>78</v>
      </c>
      <c r="P7" s="69" t="s">
        <v>78</v>
      </c>
      <c r="Q7" s="138" t="s">
        <v>78</v>
      </c>
      <c r="R7" s="17" t="s">
        <v>78</v>
      </c>
      <c r="S7" s="17" t="s">
        <v>78</v>
      </c>
      <c r="T7" s="17" t="s">
        <v>78</v>
      </c>
      <c r="U7" s="17" t="s">
        <v>78</v>
      </c>
      <c r="V7" s="69" t="s">
        <v>78</v>
      </c>
      <c r="W7" s="17" t="s">
        <v>78</v>
      </c>
      <c r="X7" s="69" t="s">
        <v>78</v>
      </c>
      <c r="Y7" s="17" t="s">
        <v>78</v>
      </c>
      <c r="Z7" s="17" t="s">
        <v>78</v>
      </c>
      <c r="AA7" s="17" t="s">
        <v>78</v>
      </c>
      <c r="AB7" s="17" t="s">
        <v>78</v>
      </c>
      <c r="AC7" s="77" t="s">
        <v>78</v>
      </c>
      <c r="AD7" s="151" t="s">
        <v>78</v>
      </c>
      <c r="AE7" s="69" t="s">
        <v>78</v>
      </c>
      <c r="AF7" s="17">
        <v>3.62E-3</v>
      </c>
      <c r="AG7" s="69" t="s">
        <v>78</v>
      </c>
      <c r="AH7" s="17">
        <v>5.7899999999999998E-4</v>
      </c>
      <c r="AI7" s="17" t="s">
        <v>78</v>
      </c>
      <c r="AJ7" s="23">
        <v>0.3</v>
      </c>
      <c r="AK7" s="69" t="s">
        <v>78</v>
      </c>
      <c r="AL7" s="17" t="s">
        <v>78</v>
      </c>
      <c r="AM7" s="17">
        <v>1.09E-3</v>
      </c>
      <c r="AN7" s="17" t="s">
        <v>78</v>
      </c>
      <c r="AO7" s="17" t="s">
        <v>78</v>
      </c>
      <c r="AP7" s="69" t="s">
        <v>78</v>
      </c>
      <c r="AQ7" s="69" t="s">
        <v>78</v>
      </c>
      <c r="AR7" s="17" t="s">
        <v>78</v>
      </c>
      <c r="AS7" s="95">
        <v>3.8899999999999997E-5</v>
      </c>
      <c r="AT7" s="17" t="s">
        <v>78</v>
      </c>
      <c r="AU7" s="17" t="s">
        <v>78</v>
      </c>
      <c r="AV7" s="17" t="s">
        <v>78</v>
      </c>
      <c r="AW7" s="17" t="s">
        <v>78</v>
      </c>
      <c r="AX7" s="17" t="s">
        <v>78</v>
      </c>
      <c r="AY7" s="17" t="s">
        <v>78</v>
      </c>
      <c r="AZ7" s="69" t="s">
        <v>78</v>
      </c>
      <c r="BA7" s="17" t="s">
        <v>78</v>
      </c>
      <c r="BB7" s="17" t="s">
        <v>78</v>
      </c>
      <c r="BC7" s="69" t="s">
        <v>78</v>
      </c>
      <c r="BD7" s="69" t="s">
        <v>78</v>
      </c>
      <c r="BE7" s="17" t="s">
        <v>78</v>
      </c>
      <c r="BF7" s="17" t="s">
        <v>78</v>
      </c>
      <c r="BG7" s="23">
        <v>2.8999999999999998E-3</v>
      </c>
      <c r="BH7" s="17" t="s">
        <v>78</v>
      </c>
      <c r="BI7" s="17" t="s">
        <v>78</v>
      </c>
      <c r="BJ7" s="17" t="s">
        <v>78</v>
      </c>
      <c r="BK7" s="69" t="s">
        <v>78</v>
      </c>
      <c r="BL7" s="69" t="s">
        <v>78</v>
      </c>
      <c r="BM7" s="17">
        <v>6.4299999999999996E-2</v>
      </c>
      <c r="BN7" s="17" t="s">
        <v>78</v>
      </c>
      <c r="BO7" s="17" t="s">
        <v>78</v>
      </c>
      <c r="BP7" s="17" t="s">
        <v>78</v>
      </c>
      <c r="BQ7" s="17" t="s">
        <v>78</v>
      </c>
      <c r="BR7" s="17" t="s">
        <v>78</v>
      </c>
      <c r="BS7" s="17" t="s">
        <v>78</v>
      </c>
      <c r="BT7" s="17" t="s">
        <v>78</v>
      </c>
      <c r="BU7" s="17" t="s">
        <v>78</v>
      </c>
      <c r="BV7" s="17" t="s">
        <v>78</v>
      </c>
      <c r="BW7" s="17" t="s">
        <v>78</v>
      </c>
      <c r="BX7" s="17" t="s">
        <v>78</v>
      </c>
      <c r="BY7" s="17" t="s">
        <v>78</v>
      </c>
      <c r="BZ7" s="17" t="s">
        <v>78</v>
      </c>
      <c r="CA7" s="17" t="s">
        <v>78</v>
      </c>
      <c r="CB7" s="17" t="s">
        <v>78</v>
      </c>
      <c r="CC7" s="17" t="s">
        <v>78</v>
      </c>
      <c r="CD7" s="17" t="s">
        <v>78</v>
      </c>
      <c r="CE7" s="69" t="s">
        <v>78</v>
      </c>
      <c r="CF7" s="17" t="s">
        <v>78</v>
      </c>
      <c r="CG7" s="17" t="s">
        <v>78</v>
      </c>
      <c r="CH7" s="17" t="s">
        <v>78</v>
      </c>
      <c r="CI7" s="17" t="s">
        <v>78</v>
      </c>
      <c r="CJ7" s="69" t="s">
        <v>78</v>
      </c>
      <c r="CK7" s="17">
        <v>1.18E-4</v>
      </c>
      <c r="CL7" s="17" t="s">
        <v>78</v>
      </c>
      <c r="CM7" s="17" t="s">
        <v>78</v>
      </c>
      <c r="CN7" s="95">
        <v>8.1500000000000002E-5</v>
      </c>
      <c r="CO7" s="17" t="s">
        <v>78</v>
      </c>
      <c r="CP7" s="17" t="s">
        <v>78</v>
      </c>
      <c r="CQ7" s="17" t="s">
        <v>78</v>
      </c>
      <c r="CR7" s="17" t="s">
        <v>78</v>
      </c>
      <c r="CS7" s="69" t="s">
        <v>78</v>
      </c>
      <c r="CT7" s="69" t="s">
        <v>78</v>
      </c>
      <c r="CU7" s="17" t="s">
        <v>78</v>
      </c>
      <c r="CV7" s="69" t="s">
        <v>78</v>
      </c>
      <c r="CW7" s="17" t="s">
        <v>78</v>
      </c>
      <c r="CX7" s="17">
        <v>2.6199999999999999E-3</v>
      </c>
      <c r="CY7" s="69" t="s">
        <v>78</v>
      </c>
      <c r="CZ7" s="69" t="s">
        <v>78</v>
      </c>
      <c r="DA7" s="17" t="s">
        <v>78</v>
      </c>
      <c r="DB7" s="17" t="s">
        <v>78</v>
      </c>
      <c r="DC7" s="17" t="s">
        <v>78</v>
      </c>
      <c r="DD7" s="17" t="s">
        <v>78</v>
      </c>
      <c r="DE7" s="17">
        <v>1.18E-2</v>
      </c>
      <c r="DF7" s="17" t="s">
        <v>78</v>
      </c>
      <c r="DG7" s="17" t="s">
        <v>78</v>
      </c>
      <c r="DH7" s="69" t="s">
        <v>78</v>
      </c>
      <c r="DI7" s="69" t="s">
        <v>78</v>
      </c>
      <c r="DJ7" s="17" t="s">
        <v>78</v>
      </c>
      <c r="DK7" s="17" t="s">
        <v>78</v>
      </c>
      <c r="DL7" s="17" t="s">
        <v>78</v>
      </c>
      <c r="DM7" s="17" t="s">
        <v>78</v>
      </c>
      <c r="DN7" s="17">
        <v>5.79E-3</v>
      </c>
      <c r="DO7" s="17" t="s">
        <v>78</v>
      </c>
      <c r="DP7" s="52" t="s">
        <v>78</v>
      </c>
      <c r="DQ7" s="14"/>
      <c r="DR7" s="8"/>
      <c r="DS7" s="8"/>
      <c r="DT7" s="8"/>
      <c r="DU7" s="8"/>
      <c r="DV7" s="8"/>
      <c r="DW7" s="8"/>
      <c r="DX7" s="8"/>
      <c r="DY7" s="8"/>
      <c r="DZ7" s="8"/>
      <c r="EA7" s="8"/>
      <c r="EB7" s="8"/>
    </row>
    <row r="8" spans="2:132" ht="15" thickBot="1" x14ac:dyDescent="0.4">
      <c r="B8" s="125"/>
      <c r="C8" s="279"/>
      <c r="D8" s="49"/>
      <c r="E8" s="132"/>
      <c r="F8" s="80"/>
      <c r="G8" s="56"/>
      <c r="H8" s="529"/>
      <c r="I8" s="99"/>
      <c r="J8" s="99"/>
      <c r="K8" s="53"/>
      <c r="L8" s="99"/>
      <c r="M8" s="53"/>
      <c r="N8" s="53"/>
      <c r="O8" s="53"/>
      <c r="P8" s="99"/>
      <c r="Q8" s="175"/>
      <c r="R8" s="53"/>
      <c r="S8" s="53"/>
      <c r="T8" s="53"/>
      <c r="U8" s="53"/>
      <c r="V8" s="99"/>
      <c r="W8" s="53"/>
      <c r="X8" s="99"/>
      <c r="Y8" s="53"/>
      <c r="Z8" s="53"/>
      <c r="AA8" s="53"/>
      <c r="AB8" s="53"/>
      <c r="AC8" s="109"/>
      <c r="AD8" s="143"/>
      <c r="AE8" s="78"/>
      <c r="AF8" s="5"/>
      <c r="AG8" s="78"/>
      <c r="AH8" s="5"/>
      <c r="AI8" s="5"/>
      <c r="AJ8" s="5"/>
      <c r="AK8" s="78"/>
      <c r="AL8" s="5"/>
      <c r="AM8" s="5"/>
      <c r="AN8" s="5"/>
      <c r="AO8" s="5"/>
      <c r="AP8" s="78"/>
      <c r="AQ8" s="78"/>
      <c r="AR8" s="5"/>
      <c r="AS8" s="5"/>
      <c r="AT8" s="5"/>
      <c r="AU8" s="5"/>
      <c r="AV8" s="5"/>
      <c r="AW8" s="5"/>
      <c r="AX8" s="5"/>
      <c r="AY8" s="5"/>
      <c r="AZ8" s="78"/>
      <c r="BA8" s="5"/>
      <c r="BB8" s="5"/>
      <c r="BC8" s="78"/>
      <c r="BD8" s="78"/>
      <c r="BE8" s="5"/>
      <c r="BF8" s="5"/>
      <c r="BG8" s="5"/>
      <c r="BH8" s="5"/>
      <c r="BI8" s="5"/>
      <c r="BJ8" s="5"/>
      <c r="BK8" s="78"/>
      <c r="BL8" s="78"/>
      <c r="BM8" s="5"/>
      <c r="BN8" s="5"/>
      <c r="BO8" s="5"/>
      <c r="BP8" s="5"/>
      <c r="BQ8" s="5"/>
      <c r="BR8" s="5"/>
      <c r="BS8" s="5"/>
      <c r="BT8" s="5"/>
      <c r="BU8" s="5"/>
      <c r="BV8" s="5"/>
      <c r="BW8" s="5"/>
      <c r="BX8" s="5"/>
      <c r="BY8" s="5"/>
      <c r="BZ8" s="5"/>
      <c r="CA8" s="5"/>
      <c r="CB8" s="5"/>
      <c r="CC8" s="5"/>
      <c r="CD8" s="5"/>
      <c r="CE8" s="78"/>
      <c r="CF8" s="5"/>
      <c r="CG8" s="5"/>
      <c r="CH8" s="5"/>
      <c r="CI8" s="5"/>
      <c r="CJ8" s="78"/>
      <c r="CK8" s="546"/>
      <c r="CL8" s="5"/>
      <c r="CM8" s="5"/>
      <c r="CN8" s="547"/>
      <c r="CO8" s="5"/>
      <c r="CP8" s="5"/>
      <c r="CQ8" s="5"/>
      <c r="CR8" s="5"/>
      <c r="CS8" s="78"/>
      <c r="CT8" s="78"/>
      <c r="CU8" s="5"/>
      <c r="CV8" s="78"/>
      <c r="CW8" s="5"/>
      <c r="CX8" s="5"/>
      <c r="CY8" s="78"/>
      <c r="CZ8" s="78"/>
      <c r="DA8" s="5"/>
      <c r="DB8" s="5"/>
      <c r="DC8" s="5"/>
      <c r="DD8" s="5"/>
      <c r="DE8" s="5"/>
      <c r="DF8" s="53"/>
      <c r="DG8" s="5"/>
      <c r="DH8" s="78"/>
      <c r="DI8" s="78"/>
      <c r="DJ8" s="5"/>
      <c r="DK8" s="5"/>
      <c r="DL8" s="5"/>
      <c r="DM8" s="5"/>
      <c r="DN8" s="5"/>
      <c r="DO8" s="53"/>
      <c r="DP8" s="319"/>
      <c r="DQ8" s="14"/>
      <c r="DR8" s="8"/>
      <c r="DS8" s="8"/>
      <c r="DT8" s="8"/>
      <c r="DU8" s="8"/>
      <c r="DV8" s="8"/>
      <c r="DW8" s="8"/>
      <c r="DX8" s="8"/>
      <c r="DY8" s="8"/>
      <c r="DZ8" s="8"/>
      <c r="EA8" s="8"/>
      <c r="EB8" s="8"/>
    </row>
    <row r="9" spans="2:132" x14ac:dyDescent="0.35">
      <c r="B9" s="116"/>
      <c r="C9" s="281" t="s">
        <v>171</v>
      </c>
      <c r="D9" s="9"/>
      <c r="E9" s="118"/>
      <c r="F9" s="210"/>
      <c r="G9" s="314"/>
      <c r="H9" s="528"/>
      <c r="I9" s="69"/>
      <c r="J9" s="69"/>
      <c r="K9" s="17"/>
      <c r="L9" s="69"/>
      <c r="M9" s="17"/>
      <c r="N9" s="17"/>
      <c r="O9" s="17"/>
      <c r="P9" s="69"/>
      <c r="Q9" s="138"/>
      <c r="R9" s="17"/>
      <c r="S9" s="17"/>
      <c r="T9" s="17"/>
      <c r="U9" s="17"/>
      <c r="V9" s="69"/>
      <c r="W9" s="17"/>
      <c r="X9" s="69"/>
      <c r="Y9" s="17"/>
      <c r="Z9" s="17"/>
      <c r="AA9" s="17"/>
      <c r="AB9" s="17"/>
      <c r="AC9" s="77"/>
      <c r="AD9" s="154"/>
      <c r="AE9" s="96"/>
      <c r="AF9" s="8"/>
      <c r="AG9" s="96"/>
      <c r="AH9" s="8"/>
      <c r="AI9" s="8"/>
      <c r="AJ9" s="8"/>
      <c r="AK9" s="96"/>
      <c r="AL9" s="8"/>
      <c r="AM9" s="8"/>
      <c r="AN9" s="8"/>
      <c r="AO9" s="8"/>
      <c r="AP9" s="96"/>
      <c r="AQ9" s="96"/>
      <c r="AR9" s="8"/>
      <c r="AS9" s="8"/>
      <c r="AT9" s="8"/>
      <c r="AU9" s="8"/>
      <c r="AV9" s="8"/>
      <c r="AW9" s="8"/>
      <c r="AX9" s="8"/>
      <c r="AY9" s="8"/>
      <c r="AZ9" s="96"/>
      <c r="BA9" s="8"/>
      <c r="BB9" s="8"/>
      <c r="BC9" s="96"/>
      <c r="BD9" s="96"/>
      <c r="BG9" s="8"/>
      <c r="BH9" s="8"/>
      <c r="BI9" s="8"/>
      <c r="BJ9" s="8"/>
      <c r="BK9" s="96"/>
      <c r="BL9" s="96"/>
      <c r="BM9" s="8"/>
      <c r="BN9" s="8"/>
      <c r="BO9" s="8"/>
      <c r="BP9" s="8"/>
      <c r="BQ9" s="8"/>
      <c r="BR9" s="8"/>
      <c r="BS9" s="8"/>
      <c r="BT9" s="8"/>
      <c r="BU9" s="8"/>
      <c r="BV9" s="8"/>
      <c r="BW9" s="8"/>
      <c r="BX9" s="8"/>
      <c r="BY9" s="8"/>
      <c r="BZ9" s="8"/>
      <c r="CA9" s="8"/>
      <c r="CB9" s="8"/>
      <c r="CC9" s="8"/>
      <c r="CD9" s="8"/>
      <c r="CE9" s="96"/>
      <c r="CF9" s="8"/>
      <c r="CG9" s="8"/>
      <c r="CH9" s="8"/>
      <c r="CI9" s="8"/>
      <c r="CJ9" s="96"/>
      <c r="CK9" s="8"/>
      <c r="CL9" s="8"/>
      <c r="CM9" s="8"/>
      <c r="CN9" s="8"/>
      <c r="CO9" s="8"/>
      <c r="CP9" s="8"/>
      <c r="CQ9" s="8"/>
      <c r="CR9" s="8"/>
      <c r="CS9" s="96"/>
      <c r="CT9" s="96"/>
      <c r="CV9" s="96"/>
      <c r="CW9" s="8"/>
      <c r="CX9" s="8"/>
      <c r="CY9" s="96"/>
      <c r="CZ9" s="96"/>
      <c r="DA9" s="8"/>
      <c r="DB9" s="8"/>
      <c r="DC9" s="8"/>
      <c r="DD9" s="8"/>
      <c r="DE9" s="8"/>
      <c r="DF9" s="17"/>
      <c r="DG9" s="8"/>
      <c r="DH9" s="96"/>
      <c r="DI9" s="96"/>
      <c r="DL9" s="8"/>
      <c r="DM9" s="8"/>
      <c r="DN9" s="8"/>
      <c r="DO9" s="17"/>
      <c r="DP9" s="52"/>
      <c r="DQ9" s="14"/>
      <c r="DR9" s="8"/>
      <c r="DS9" s="8"/>
      <c r="DT9" s="8"/>
      <c r="DU9" s="8"/>
      <c r="DV9" s="8"/>
      <c r="DW9" s="8"/>
      <c r="DX9" s="8"/>
      <c r="DY9" s="8"/>
      <c r="DZ9" s="8"/>
      <c r="EA9" s="8"/>
      <c r="EB9" s="8"/>
    </row>
    <row r="10" spans="2:132" ht="16.5" x14ac:dyDescent="0.35">
      <c r="B10" s="126"/>
      <c r="C10" s="282"/>
      <c r="D10" s="9">
        <v>20100201</v>
      </c>
      <c r="E10" s="118" t="s">
        <v>363</v>
      </c>
      <c r="F10" s="54" t="s">
        <v>383</v>
      </c>
      <c r="G10" s="314" t="s">
        <v>146</v>
      </c>
      <c r="H10" s="548" t="s">
        <v>456</v>
      </c>
      <c r="I10" s="69" t="s">
        <v>78</v>
      </c>
      <c r="J10" s="69" t="s">
        <v>78</v>
      </c>
      <c r="K10" s="17" t="s">
        <v>78</v>
      </c>
      <c r="L10" s="69" t="s">
        <v>78</v>
      </c>
      <c r="M10" s="17" t="s">
        <v>78</v>
      </c>
      <c r="N10" s="17" t="s">
        <v>78</v>
      </c>
      <c r="O10" s="17" t="s">
        <v>78</v>
      </c>
      <c r="P10" s="69" t="s">
        <v>78</v>
      </c>
      <c r="Q10" s="138" t="s">
        <v>78</v>
      </c>
      <c r="R10" s="17" t="s">
        <v>78</v>
      </c>
      <c r="S10" s="17" t="s">
        <v>78</v>
      </c>
      <c r="T10" s="17" t="s">
        <v>78</v>
      </c>
      <c r="U10" s="17" t="s">
        <v>78</v>
      </c>
      <c r="V10" s="69" t="s">
        <v>78</v>
      </c>
      <c r="W10" s="17" t="s">
        <v>78</v>
      </c>
      <c r="X10" s="69" t="s">
        <v>78</v>
      </c>
      <c r="Y10" s="17" t="s">
        <v>78</v>
      </c>
      <c r="Z10" s="17" t="s">
        <v>78</v>
      </c>
      <c r="AA10" s="17" t="s">
        <v>78</v>
      </c>
      <c r="AB10" s="17" t="s">
        <v>78</v>
      </c>
      <c r="AC10" s="77" t="s">
        <v>78</v>
      </c>
      <c r="AD10" s="151" t="s">
        <v>78</v>
      </c>
      <c r="AE10" s="69" t="s">
        <v>78</v>
      </c>
      <c r="AF10" s="60">
        <f>0.00004*1020</f>
        <v>4.0800000000000003E-2</v>
      </c>
      <c r="AG10" s="111" t="s">
        <v>78</v>
      </c>
      <c r="AH10" s="23">
        <f>0.0000064*1020</f>
        <v>6.5279999999999999E-3</v>
      </c>
      <c r="AI10" s="17" t="s">
        <v>78</v>
      </c>
      <c r="AJ10" s="92">
        <v>18</v>
      </c>
      <c r="AK10" s="69" t="s">
        <v>78</v>
      </c>
      <c r="AL10" s="17" t="s">
        <v>78</v>
      </c>
      <c r="AM10" s="60">
        <f>0.000012*1020</f>
        <v>1.2240000000000001E-2</v>
      </c>
      <c r="AN10" s="17" t="s">
        <v>78</v>
      </c>
      <c r="AO10" s="17" t="s">
        <v>78</v>
      </c>
      <c r="AP10" s="69" t="s">
        <v>78</v>
      </c>
      <c r="AQ10" s="69" t="s">
        <v>78</v>
      </c>
      <c r="AR10" s="17" t="s">
        <v>78</v>
      </c>
      <c r="AS10" s="183">
        <f>0.00000043*1020</f>
        <v>4.3860000000000004E-4</v>
      </c>
      <c r="AT10" s="17" t="s">
        <v>78</v>
      </c>
      <c r="AU10" s="17" t="s">
        <v>78</v>
      </c>
      <c r="AV10" s="17" t="s">
        <v>78</v>
      </c>
      <c r="AW10" s="17" t="s">
        <v>78</v>
      </c>
      <c r="AX10" s="17" t="s">
        <v>78</v>
      </c>
      <c r="AY10" s="17" t="s">
        <v>78</v>
      </c>
      <c r="AZ10" s="69" t="s">
        <v>78</v>
      </c>
      <c r="BA10" s="17" t="s">
        <v>78</v>
      </c>
      <c r="BB10" s="17" t="s">
        <v>78</v>
      </c>
      <c r="BC10" s="69" t="s">
        <v>78</v>
      </c>
      <c r="BD10" s="69" t="s">
        <v>78</v>
      </c>
      <c r="BE10" s="17" t="s">
        <v>78</v>
      </c>
      <c r="BF10" s="17" t="s">
        <v>78</v>
      </c>
      <c r="BG10" s="60">
        <f>0.000032*1020</f>
        <v>3.2639999999999995E-2</v>
      </c>
      <c r="BH10" s="17" t="s">
        <v>78</v>
      </c>
      <c r="BI10" s="17" t="s">
        <v>78</v>
      </c>
      <c r="BJ10" s="17" t="s">
        <v>78</v>
      </c>
      <c r="BK10" s="69" t="s">
        <v>78</v>
      </c>
      <c r="BL10" s="69" t="s">
        <v>78</v>
      </c>
      <c r="BM10" s="92">
        <f>0.00071*1020</f>
        <v>0.72420000000000007</v>
      </c>
      <c r="BN10" s="17" t="s">
        <v>78</v>
      </c>
      <c r="BO10" s="17" t="s">
        <v>78</v>
      </c>
      <c r="BP10" s="17" t="s">
        <v>78</v>
      </c>
      <c r="BQ10" s="17" t="s">
        <v>78</v>
      </c>
      <c r="BR10" s="17" t="s">
        <v>78</v>
      </c>
      <c r="BS10" s="17" t="s">
        <v>78</v>
      </c>
      <c r="BT10" s="17" t="s">
        <v>78</v>
      </c>
      <c r="BU10" s="17" t="s">
        <v>78</v>
      </c>
      <c r="BV10" s="17" t="s">
        <v>78</v>
      </c>
      <c r="BW10" s="17" t="s">
        <v>78</v>
      </c>
      <c r="BX10" s="17" t="s">
        <v>78</v>
      </c>
      <c r="BY10" s="17" t="s">
        <v>78</v>
      </c>
      <c r="BZ10" s="17" t="s">
        <v>78</v>
      </c>
      <c r="CA10" s="17" t="s">
        <v>78</v>
      </c>
      <c r="CB10" s="17" t="s">
        <v>78</v>
      </c>
      <c r="CC10" s="17" t="s">
        <v>78</v>
      </c>
      <c r="CD10" s="17" t="s">
        <v>78</v>
      </c>
      <c r="CE10" s="69" t="s">
        <v>78</v>
      </c>
      <c r="CF10" s="17" t="s">
        <v>78</v>
      </c>
      <c r="CG10" s="17" t="s">
        <v>78</v>
      </c>
      <c r="CH10" s="17" t="s">
        <v>78</v>
      </c>
      <c r="CI10" s="17" t="s">
        <v>78</v>
      </c>
      <c r="CJ10" s="69" t="s">
        <v>78</v>
      </c>
      <c r="CK10" s="23">
        <f>0.0000013*1020</f>
        <v>1.3260000000000001E-3</v>
      </c>
      <c r="CL10" s="17" t="s">
        <v>78</v>
      </c>
      <c r="CM10" s="17" t="s">
        <v>78</v>
      </c>
      <c r="CN10" s="23">
        <f>0.0000022*1020</f>
        <v>2.2439999999999999E-3</v>
      </c>
      <c r="CO10" s="17" t="s">
        <v>78</v>
      </c>
      <c r="CP10" s="17" t="s">
        <v>78</v>
      </c>
      <c r="CQ10" s="17" t="s">
        <v>78</v>
      </c>
      <c r="CR10" s="17" t="s">
        <v>78</v>
      </c>
      <c r="CS10" s="69" t="s">
        <v>78</v>
      </c>
      <c r="CT10" s="69" t="s">
        <v>78</v>
      </c>
      <c r="CU10" s="17" t="s">
        <v>78</v>
      </c>
      <c r="CV10" s="69" t="s">
        <v>78</v>
      </c>
      <c r="CW10" s="17" t="s">
        <v>78</v>
      </c>
      <c r="CX10" s="60">
        <f>0.000029*1020</f>
        <v>2.9579999999999999E-2</v>
      </c>
      <c r="CY10" s="69" t="s">
        <v>78</v>
      </c>
      <c r="CZ10" s="69" t="s">
        <v>78</v>
      </c>
      <c r="DA10" s="17" t="s">
        <v>78</v>
      </c>
      <c r="DB10" s="17" t="s">
        <v>78</v>
      </c>
      <c r="DC10" s="17" t="s">
        <v>78</v>
      </c>
      <c r="DD10" s="17" t="s">
        <v>78</v>
      </c>
      <c r="DE10" s="92">
        <f>0.00013*1020</f>
        <v>0.1326</v>
      </c>
      <c r="DF10" s="17" t="s">
        <v>78</v>
      </c>
      <c r="DG10" s="17" t="s">
        <v>78</v>
      </c>
      <c r="DH10" s="69" t="s">
        <v>78</v>
      </c>
      <c r="DI10" s="69" t="s">
        <v>78</v>
      </c>
      <c r="DJ10" s="17" t="s">
        <v>78</v>
      </c>
      <c r="DK10" s="17" t="s">
        <v>78</v>
      </c>
      <c r="DL10" s="17" t="s">
        <v>78</v>
      </c>
      <c r="DM10" s="17" t="s">
        <v>78</v>
      </c>
      <c r="DN10" s="60">
        <f>0.000064*1020</f>
        <v>6.5279999999999991E-2</v>
      </c>
      <c r="DO10" s="17" t="s">
        <v>78</v>
      </c>
      <c r="DP10" s="52" t="s">
        <v>78</v>
      </c>
      <c r="DQ10" s="14"/>
      <c r="DR10" s="8"/>
      <c r="DS10" s="8"/>
      <c r="DT10" s="8"/>
      <c r="DU10" s="8"/>
      <c r="DV10" s="8"/>
      <c r="DW10" s="8"/>
      <c r="DX10" s="8"/>
      <c r="DY10" s="8"/>
      <c r="DZ10" s="8"/>
      <c r="EA10" s="8"/>
      <c r="EB10" s="8"/>
    </row>
    <row r="11" spans="2:132" ht="16.5" x14ac:dyDescent="0.35">
      <c r="B11" s="126"/>
      <c r="C11" s="282"/>
      <c r="D11" s="9">
        <v>20200201</v>
      </c>
      <c r="E11" s="118" t="s">
        <v>364</v>
      </c>
      <c r="F11" s="54" t="s">
        <v>383</v>
      </c>
      <c r="G11" s="314" t="s">
        <v>146</v>
      </c>
      <c r="H11" s="548" t="s">
        <v>456</v>
      </c>
      <c r="I11" s="69" t="s">
        <v>78</v>
      </c>
      <c r="J11" s="69" t="s">
        <v>78</v>
      </c>
      <c r="K11" s="17" t="s">
        <v>78</v>
      </c>
      <c r="L11" s="69" t="s">
        <v>78</v>
      </c>
      <c r="M11" s="17" t="s">
        <v>78</v>
      </c>
      <c r="N11" s="17" t="s">
        <v>78</v>
      </c>
      <c r="O11" s="17" t="s">
        <v>78</v>
      </c>
      <c r="P11" s="69" t="s">
        <v>78</v>
      </c>
      <c r="Q11" s="138" t="s">
        <v>78</v>
      </c>
      <c r="R11" s="17" t="s">
        <v>78</v>
      </c>
      <c r="S11" s="17" t="s">
        <v>78</v>
      </c>
      <c r="T11" s="17" t="s">
        <v>78</v>
      </c>
      <c r="U11" s="17" t="s">
        <v>78</v>
      </c>
      <c r="V11" s="69" t="s">
        <v>78</v>
      </c>
      <c r="W11" s="17" t="s">
        <v>78</v>
      </c>
      <c r="X11" s="69" t="s">
        <v>78</v>
      </c>
      <c r="Y11" s="17" t="s">
        <v>78</v>
      </c>
      <c r="Z11" s="17" t="s">
        <v>78</v>
      </c>
      <c r="AA11" s="17" t="s">
        <v>78</v>
      </c>
      <c r="AB11" s="17" t="s">
        <v>78</v>
      </c>
      <c r="AC11" s="77" t="s">
        <v>78</v>
      </c>
      <c r="AD11" s="151" t="s">
        <v>78</v>
      </c>
      <c r="AE11" s="69" t="s">
        <v>78</v>
      </c>
      <c r="AF11" s="60">
        <f t="shared" ref="AF11:AF13" si="0">0.00004*1020</f>
        <v>4.0800000000000003E-2</v>
      </c>
      <c r="AG11" s="111" t="s">
        <v>78</v>
      </c>
      <c r="AH11" s="23">
        <f t="shared" ref="AH11:AH13" si="1">0.0000064*1020</f>
        <v>6.5279999999999999E-3</v>
      </c>
      <c r="AI11" s="17" t="s">
        <v>78</v>
      </c>
      <c r="AJ11" s="92">
        <v>18</v>
      </c>
      <c r="AK11" s="69" t="s">
        <v>78</v>
      </c>
      <c r="AL11" s="17" t="s">
        <v>78</v>
      </c>
      <c r="AM11" s="60">
        <f t="shared" ref="AM11:AM13" si="2">0.000012*1020</f>
        <v>1.2240000000000001E-2</v>
      </c>
      <c r="AN11" s="17" t="s">
        <v>78</v>
      </c>
      <c r="AO11" s="17" t="s">
        <v>78</v>
      </c>
      <c r="AP11" s="69" t="s">
        <v>78</v>
      </c>
      <c r="AQ11" s="69" t="s">
        <v>78</v>
      </c>
      <c r="AR11" s="17" t="s">
        <v>78</v>
      </c>
      <c r="AS11" s="183">
        <f>0.00000043*1020</f>
        <v>4.3860000000000004E-4</v>
      </c>
      <c r="AT11" s="17" t="s">
        <v>78</v>
      </c>
      <c r="AU11" s="17" t="s">
        <v>78</v>
      </c>
      <c r="AV11" s="17" t="s">
        <v>78</v>
      </c>
      <c r="AW11" s="17" t="s">
        <v>78</v>
      </c>
      <c r="AX11" s="17" t="s">
        <v>78</v>
      </c>
      <c r="AY11" s="17" t="s">
        <v>78</v>
      </c>
      <c r="AZ11" s="69" t="s">
        <v>78</v>
      </c>
      <c r="BA11" s="17" t="s">
        <v>78</v>
      </c>
      <c r="BB11" s="17" t="s">
        <v>78</v>
      </c>
      <c r="BC11" s="69" t="s">
        <v>78</v>
      </c>
      <c r="BD11" s="69" t="s">
        <v>78</v>
      </c>
      <c r="BE11" s="17" t="s">
        <v>78</v>
      </c>
      <c r="BF11" s="17" t="s">
        <v>78</v>
      </c>
      <c r="BG11" s="60">
        <f t="shared" ref="BG11:BG13" si="3">0.000032*1020</f>
        <v>3.2639999999999995E-2</v>
      </c>
      <c r="BH11" s="17" t="s">
        <v>78</v>
      </c>
      <c r="BI11" s="17" t="s">
        <v>78</v>
      </c>
      <c r="BJ11" s="17" t="s">
        <v>78</v>
      </c>
      <c r="BK11" s="69" t="s">
        <v>78</v>
      </c>
      <c r="BL11" s="69" t="s">
        <v>78</v>
      </c>
      <c r="BM11" s="92">
        <f t="shared" ref="BM11:BM13" si="4">0.00071*1020</f>
        <v>0.72420000000000007</v>
      </c>
      <c r="BN11" s="17" t="s">
        <v>78</v>
      </c>
      <c r="BO11" s="17" t="s">
        <v>78</v>
      </c>
      <c r="BP11" s="17" t="s">
        <v>78</v>
      </c>
      <c r="BQ11" s="17" t="s">
        <v>78</v>
      </c>
      <c r="BR11" s="17" t="s">
        <v>78</v>
      </c>
      <c r="BS11" s="17" t="s">
        <v>78</v>
      </c>
      <c r="BT11" s="17" t="s">
        <v>78</v>
      </c>
      <c r="BU11" s="17" t="s">
        <v>78</v>
      </c>
      <c r="BV11" s="17" t="s">
        <v>78</v>
      </c>
      <c r="BW11" s="17" t="s">
        <v>78</v>
      </c>
      <c r="BX11" s="17" t="s">
        <v>78</v>
      </c>
      <c r="BY11" s="17" t="s">
        <v>78</v>
      </c>
      <c r="BZ11" s="17" t="s">
        <v>78</v>
      </c>
      <c r="CA11" s="17" t="s">
        <v>78</v>
      </c>
      <c r="CB11" s="17" t="s">
        <v>78</v>
      </c>
      <c r="CC11" s="17" t="s">
        <v>78</v>
      </c>
      <c r="CD11" s="17" t="s">
        <v>78</v>
      </c>
      <c r="CE11" s="69" t="s">
        <v>78</v>
      </c>
      <c r="CF11" s="17" t="s">
        <v>78</v>
      </c>
      <c r="CG11" s="17" t="s">
        <v>78</v>
      </c>
      <c r="CH11" s="17" t="s">
        <v>78</v>
      </c>
      <c r="CI11" s="17" t="s">
        <v>78</v>
      </c>
      <c r="CJ11" s="69" t="s">
        <v>78</v>
      </c>
      <c r="CK11" s="23">
        <f t="shared" ref="CK11:CK13" si="5">0.0000013*1020</f>
        <v>1.3260000000000001E-3</v>
      </c>
      <c r="CL11" s="17" t="s">
        <v>78</v>
      </c>
      <c r="CM11" s="17" t="s">
        <v>78</v>
      </c>
      <c r="CN11" s="23">
        <f t="shared" ref="CN11:CN13" si="6">0.0000022*1020</f>
        <v>2.2439999999999999E-3</v>
      </c>
      <c r="CO11" s="17" t="s">
        <v>78</v>
      </c>
      <c r="CP11" s="17" t="s">
        <v>78</v>
      </c>
      <c r="CQ11" s="17" t="s">
        <v>78</v>
      </c>
      <c r="CR11" s="17" t="s">
        <v>78</v>
      </c>
      <c r="CS11" s="69" t="s">
        <v>78</v>
      </c>
      <c r="CT11" s="69" t="s">
        <v>78</v>
      </c>
      <c r="CU11" s="17" t="s">
        <v>78</v>
      </c>
      <c r="CV11" s="69" t="s">
        <v>78</v>
      </c>
      <c r="CW11" s="17" t="s">
        <v>78</v>
      </c>
      <c r="CX11" s="60">
        <f t="shared" ref="CX11:CX13" si="7">0.000029*1020</f>
        <v>2.9579999999999999E-2</v>
      </c>
      <c r="CY11" s="69" t="s">
        <v>78</v>
      </c>
      <c r="CZ11" s="69" t="s">
        <v>78</v>
      </c>
      <c r="DA11" s="17" t="s">
        <v>78</v>
      </c>
      <c r="DB11" s="17" t="s">
        <v>78</v>
      </c>
      <c r="DC11" s="17" t="s">
        <v>78</v>
      </c>
      <c r="DD11" s="17" t="s">
        <v>78</v>
      </c>
      <c r="DE11" s="92">
        <f t="shared" ref="DE11:DE13" si="8">0.00013*1020</f>
        <v>0.1326</v>
      </c>
      <c r="DF11" s="17" t="s">
        <v>78</v>
      </c>
      <c r="DG11" s="17" t="s">
        <v>78</v>
      </c>
      <c r="DH11" s="69" t="s">
        <v>78</v>
      </c>
      <c r="DI11" s="69" t="s">
        <v>78</v>
      </c>
      <c r="DJ11" s="17" t="s">
        <v>78</v>
      </c>
      <c r="DK11" s="17" t="s">
        <v>78</v>
      </c>
      <c r="DL11" s="17" t="s">
        <v>78</v>
      </c>
      <c r="DM11" s="17" t="s">
        <v>78</v>
      </c>
      <c r="DN11" s="60">
        <f t="shared" ref="DN11:DN13" si="9">0.000064*1020</f>
        <v>6.5279999999999991E-2</v>
      </c>
      <c r="DO11" s="17" t="s">
        <v>78</v>
      </c>
      <c r="DP11" s="52" t="s">
        <v>78</v>
      </c>
      <c r="DQ11" s="14"/>
      <c r="DR11" s="8"/>
      <c r="DS11" s="8"/>
      <c r="DT11" s="8"/>
      <c r="DU11" s="8"/>
      <c r="DV11" s="8"/>
      <c r="DW11" s="8"/>
      <c r="DX11" s="8"/>
      <c r="DY11" s="8"/>
      <c r="DZ11" s="8"/>
      <c r="EA11" s="8"/>
      <c r="EB11" s="8"/>
    </row>
    <row r="12" spans="2:132" ht="16.5" x14ac:dyDescent="0.35">
      <c r="B12" s="126"/>
      <c r="C12" s="282"/>
      <c r="D12" s="9">
        <v>20200203</v>
      </c>
      <c r="E12" s="118" t="s">
        <v>365</v>
      </c>
      <c r="F12" s="54" t="s">
        <v>383</v>
      </c>
      <c r="G12" s="314" t="s">
        <v>146</v>
      </c>
      <c r="H12" s="548" t="s">
        <v>456</v>
      </c>
      <c r="I12" s="69" t="s">
        <v>78</v>
      </c>
      <c r="J12" s="69" t="s">
        <v>78</v>
      </c>
      <c r="K12" s="17" t="s">
        <v>78</v>
      </c>
      <c r="L12" s="69" t="s">
        <v>78</v>
      </c>
      <c r="M12" s="17" t="s">
        <v>78</v>
      </c>
      <c r="N12" s="17" t="s">
        <v>78</v>
      </c>
      <c r="O12" s="17" t="s">
        <v>78</v>
      </c>
      <c r="P12" s="69" t="s">
        <v>78</v>
      </c>
      <c r="Q12" s="138" t="s">
        <v>78</v>
      </c>
      <c r="R12" s="17" t="s">
        <v>78</v>
      </c>
      <c r="S12" s="17" t="s">
        <v>78</v>
      </c>
      <c r="T12" s="17" t="s">
        <v>78</v>
      </c>
      <c r="U12" s="17" t="s">
        <v>78</v>
      </c>
      <c r="V12" s="69" t="s">
        <v>78</v>
      </c>
      <c r="W12" s="17" t="s">
        <v>78</v>
      </c>
      <c r="X12" s="69" t="s">
        <v>78</v>
      </c>
      <c r="Y12" s="17" t="s">
        <v>78</v>
      </c>
      <c r="Z12" s="17" t="s">
        <v>78</v>
      </c>
      <c r="AA12" s="17" t="s">
        <v>78</v>
      </c>
      <c r="AB12" s="17" t="s">
        <v>78</v>
      </c>
      <c r="AC12" s="77" t="s">
        <v>78</v>
      </c>
      <c r="AD12" s="151" t="s">
        <v>78</v>
      </c>
      <c r="AE12" s="69" t="s">
        <v>78</v>
      </c>
      <c r="AF12" s="60">
        <f t="shared" si="0"/>
        <v>4.0800000000000003E-2</v>
      </c>
      <c r="AG12" s="111" t="s">
        <v>78</v>
      </c>
      <c r="AH12" s="23">
        <f t="shared" si="1"/>
        <v>6.5279999999999999E-3</v>
      </c>
      <c r="AI12" s="17" t="s">
        <v>78</v>
      </c>
      <c r="AJ12" s="92">
        <v>18</v>
      </c>
      <c r="AK12" s="69" t="s">
        <v>78</v>
      </c>
      <c r="AL12" s="17" t="s">
        <v>78</v>
      </c>
      <c r="AM12" s="60">
        <f t="shared" si="2"/>
        <v>1.2240000000000001E-2</v>
      </c>
      <c r="AN12" s="17" t="s">
        <v>78</v>
      </c>
      <c r="AO12" s="17" t="s">
        <v>78</v>
      </c>
      <c r="AP12" s="69" t="s">
        <v>78</v>
      </c>
      <c r="AQ12" s="69" t="s">
        <v>78</v>
      </c>
      <c r="AR12" s="17" t="s">
        <v>78</v>
      </c>
      <c r="AS12" s="183">
        <f>0.00000043*1020</f>
        <v>4.3860000000000004E-4</v>
      </c>
      <c r="AT12" s="17" t="s">
        <v>78</v>
      </c>
      <c r="AU12" s="17" t="s">
        <v>78</v>
      </c>
      <c r="AV12" s="17" t="s">
        <v>78</v>
      </c>
      <c r="AW12" s="17" t="s">
        <v>78</v>
      </c>
      <c r="AX12" s="17" t="s">
        <v>78</v>
      </c>
      <c r="AY12" s="17" t="s">
        <v>78</v>
      </c>
      <c r="AZ12" s="69" t="s">
        <v>78</v>
      </c>
      <c r="BA12" s="17" t="s">
        <v>78</v>
      </c>
      <c r="BB12" s="17" t="s">
        <v>78</v>
      </c>
      <c r="BC12" s="69" t="s">
        <v>78</v>
      </c>
      <c r="BD12" s="69" t="s">
        <v>78</v>
      </c>
      <c r="BE12" s="17" t="s">
        <v>78</v>
      </c>
      <c r="BF12" s="17" t="s">
        <v>78</v>
      </c>
      <c r="BG12" s="60">
        <f t="shared" si="3"/>
        <v>3.2639999999999995E-2</v>
      </c>
      <c r="BH12" s="17" t="s">
        <v>78</v>
      </c>
      <c r="BI12" s="17" t="s">
        <v>78</v>
      </c>
      <c r="BJ12" s="17" t="s">
        <v>78</v>
      </c>
      <c r="BK12" s="69" t="s">
        <v>78</v>
      </c>
      <c r="BL12" s="69" t="s">
        <v>78</v>
      </c>
      <c r="BM12" s="92">
        <f t="shared" si="4"/>
        <v>0.72420000000000007</v>
      </c>
      <c r="BN12" s="17" t="s">
        <v>78</v>
      </c>
      <c r="BO12" s="17" t="s">
        <v>78</v>
      </c>
      <c r="BP12" s="17" t="s">
        <v>78</v>
      </c>
      <c r="BQ12" s="17" t="s">
        <v>78</v>
      </c>
      <c r="BR12" s="17" t="s">
        <v>78</v>
      </c>
      <c r="BS12" s="17" t="s">
        <v>78</v>
      </c>
      <c r="BT12" s="17" t="s">
        <v>78</v>
      </c>
      <c r="BU12" s="17" t="s">
        <v>78</v>
      </c>
      <c r="BV12" s="17" t="s">
        <v>78</v>
      </c>
      <c r="BW12" s="17" t="s">
        <v>78</v>
      </c>
      <c r="BX12" s="17" t="s">
        <v>78</v>
      </c>
      <c r="BY12" s="17" t="s">
        <v>78</v>
      </c>
      <c r="BZ12" s="17" t="s">
        <v>78</v>
      </c>
      <c r="CA12" s="17" t="s">
        <v>78</v>
      </c>
      <c r="CB12" s="17" t="s">
        <v>78</v>
      </c>
      <c r="CC12" s="17" t="s">
        <v>78</v>
      </c>
      <c r="CD12" s="17" t="s">
        <v>78</v>
      </c>
      <c r="CE12" s="69" t="s">
        <v>78</v>
      </c>
      <c r="CF12" s="17" t="s">
        <v>78</v>
      </c>
      <c r="CG12" s="17" t="s">
        <v>78</v>
      </c>
      <c r="CH12" s="17" t="s">
        <v>78</v>
      </c>
      <c r="CI12" s="17" t="s">
        <v>78</v>
      </c>
      <c r="CJ12" s="69" t="s">
        <v>78</v>
      </c>
      <c r="CK12" s="23">
        <f t="shared" si="5"/>
        <v>1.3260000000000001E-3</v>
      </c>
      <c r="CL12" s="17" t="s">
        <v>78</v>
      </c>
      <c r="CM12" s="17" t="s">
        <v>78</v>
      </c>
      <c r="CN12" s="23">
        <f t="shared" si="6"/>
        <v>2.2439999999999999E-3</v>
      </c>
      <c r="CO12" s="17" t="s">
        <v>78</v>
      </c>
      <c r="CP12" s="17" t="s">
        <v>78</v>
      </c>
      <c r="CQ12" s="17" t="s">
        <v>78</v>
      </c>
      <c r="CR12" s="17" t="s">
        <v>78</v>
      </c>
      <c r="CS12" s="69" t="s">
        <v>78</v>
      </c>
      <c r="CT12" s="69" t="s">
        <v>78</v>
      </c>
      <c r="CU12" s="17" t="s">
        <v>78</v>
      </c>
      <c r="CV12" s="69" t="s">
        <v>78</v>
      </c>
      <c r="CW12" s="17" t="s">
        <v>78</v>
      </c>
      <c r="CX12" s="60">
        <f t="shared" si="7"/>
        <v>2.9579999999999999E-2</v>
      </c>
      <c r="CY12" s="69" t="s">
        <v>78</v>
      </c>
      <c r="CZ12" s="69" t="s">
        <v>78</v>
      </c>
      <c r="DA12" s="17" t="s">
        <v>78</v>
      </c>
      <c r="DB12" s="17" t="s">
        <v>78</v>
      </c>
      <c r="DC12" s="17" t="s">
        <v>78</v>
      </c>
      <c r="DD12" s="17" t="s">
        <v>78</v>
      </c>
      <c r="DE12" s="92">
        <f t="shared" si="8"/>
        <v>0.1326</v>
      </c>
      <c r="DF12" s="17" t="s">
        <v>78</v>
      </c>
      <c r="DG12" s="17" t="s">
        <v>78</v>
      </c>
      <c r="DH12" s="69" t="s">
        <v>78</v>
      </c>
      <c r="DI12" s="69" t="s">
        <v>78</v>
      </c>
      <c r="DJ12" s="17" t="s">
        <v>78</v>
      </c>
      <c r="DK12" s="17" t="s">
        <v>78</v>
      </c>
      <c r="DL12" s="17" t="s">
        <v>78</v>
      </c>
      <c r="DM12" s="17" t="s">
        <v>78</v>
      </c>
      <c r="DN12" s="60">
        <f t="shared" si="9"/>
        <v>6.5279999999999991E-2</v>
      </c>
      <c r="DO12" s="17" t="s">
        <v>78</v>
      </c>
      <c r="DP12" s="52" t="s">
        <v>78</v>
      </c>
      <c r="DQ12" s="14"/>
      <c r="DR12" s="8"/>
      <c r="DS12" s="8"/>
      <c r="DT12" s="8"/>
      <c r="DU12" s="8"/>
      <c r="DV12" s="8"/>
      <c r="DW12" s="8"/>
      <c r="DX12" s="8"/>
      <c r="DY12" s="8"/>
      <c r="DZ12" s="8"/>
      <c r="EA12" s="8"/>
      <c r="EB12" s="8"/>
    </row>
    <row r="13" spans="2:132" ht="16.5" x14ac:dyDescent="0.35">
      <c r="B13" s="126"/>
      <c r="C13" s="282"/>
      <c r="D13" s="9">
        <v>20300202</v>
      </c>
      <c r="E13" s="118" t="s">
        <v>366</v>
      </c>
      <c r="F13" s="54" t="s">
        <v>383</v>
      </c>
      <c r="G13" s="314" t="s">
        <v>146</v>
      </c>
      <c r="H13" s="548" t="s">
        <v>456</v>
      </c>
      <c r="I13" s="69" t="s">
        <v>78</v>
      </c>
      <c r="J13" s="69" t="s">
        <v>78</v>
      </c>
      <c r="K13" s="17" t="s">
        <v>78</v>
      </c>
      <c r="L13" s="69" t="s">
        <v>78</v>
      </c>
      <c r="M13" s="17" t="s">
        <v>78</v>
      </c>
      <c r="N13" s="17" t="s">
        <v>78</v>
      </c>
      <c r="O13" s="17" t="s">
        <v>78</v>
      </c>
      <c r="P13" s="69" t="s">
        <v>78</v>
      </c>
      <c r="Q13" s="138" t="s">
        <v>78</v>
      </c>
      <c r="R13" s="17" t="s">
        <v>78</v>
      </c>
      <c r="S13" s="17" t="s">
        <v>78</v>
      </c>
      <c r="T13" s="17" t="s">
        <v>78</v>
      </c>
      <c r="U13" s="17" t="s">
        <v>78</v>
      </c>
      <c r="V13" s="69" t="s">
        <v>78</v>
      </c>
      <c r="W13" s="17" t="s">
        <v>78</v>
      </c>
      <c r="X13" s="69" t="s">
        <v>78</v>
      </c>
      <c r="Y13" s="17" t="s">
        <v>78</v>
      </c>
      <c r="Z13" s="17" t="s">
        <v>78</v>
      </c>
      <c r="AA13" s="17" t="s">
        <v>78</v>
      </c>
      <c r="AB13" s="17" t="s">
        <v>78</v>
      </c>
      <c r="AC13" s="77" t="s">
        <v>78</v>
      </c>
      <c r="AD13" s="151" t="s">
        <v>78</v>
      </c>
      <c r="AE13" s="69" t="s">
        <v>78</v>
      </c>
      <c r="AF13" s="60">
        <f t="shared" si="0"/>
        <v>4.0800000000000003E-2</v>
      </c>
      <c r="AG13" s="111" t="s">
        <v>78</v>
      </c>
      <c r="AH13" s="23">
        <f t="shared" si="1"/>
        <v>6.5279999999999999E-3</v>
      </c>
      <c r="AI13" s="17" t="s">
        <v>78</v>
      </c>
      <c r="AJ13" s="92">
        <v>18</v>
      </c>
      <c r="AK13" s="69" t="s">
        <v>78</v>
      </c>
      <c r="AL13" s="17" t="s">
        <v>78</v>
      </c>
      <c r="AM13" s="60">
        <f t="shared" si="2"/>
        <v>1.2240000000000001E-2</v>
      </c>
      <c r="AN13" s="17" t="s">
        <v>78</v>
      </c>
      <c r="AO13" s="17" t="s">
        <v>78</v>
      </c>
      <c r="AP13" s="69" t="s">
        <v>78</v>
      </c>
      <c r="AQ13" s="69" t="s">
        <v>78</v>
      </c>
      <c r="AR13" s="17" t="s">
        <v>78</v>
      </c>
      <c r="AS13" s="183">
        <f>0.00000043*1020</f>
        <v>4.3860000000000004E-4</v>
      </c>
      <c r="AT13" s="17" t="s">
        <v>78</v>
      </c>
      <c r="AU13" s="17" t="s">
        <v>78</v>
      </c>
      <c r="AV13" s="17" t="s">
        <v>78</v>
      </c>
      <c r="AW13" s="17" t="s">
        <v>78</v>
      </c>
      <c r="AX13" s="17" t="s">
        <v>78</v>
      </c>
      <c r="AY13" s="17" t="s">
        <v>78</v>
      </c>
      <c r="AZ13" s="69" t="s">
        <v>78</v>
      </c>
      <c r="BA13" s="17" t="s">
        <v>78</v>
      </c>
      <c r="BB13" s="17" t="s">
        <v>78</v>
      </c>
      <c r="BC13" s="69" t="s">
        <v>78</v>
      </c>
      <c r="BD13" s="69" t="s">
        <v>78</v>
      </c>
      <c r="BE13" s="17" t="s">
        <v>78</v>
      </c>
      <c r="BF13" s="17" t="s">
        <v>78</v>
      </c>
      <c r="BG13" s="60">
        <f t="shared" si="3"/>
        <v>3.2639999999999995E-2</v>
      </c>
      <c r="BH13" s="17" t="s">
        <v>78</v>
      </c>
      <c r="BI13" s="17" t="s">
        <v>78</v>
      </c>
      <c r="BJ13" s="17" t="s">
        <v>78</v>
      </c>
      <c r="BK13" s="69" t="s">
        <v>78</v>
      </c>
      <c r="BL13" s="69" t="s">
        <v>78</v>
      </c>
      <c r="BM13" s="92">
        <f t="shared" si="4"/>
        <v>0.72420000000000007</v>
      </c>
      <c r="BN13" s="17" t="s">
        <v>78</v>
      </c>
      <c r="BO13" s="17" t="s">
        <v>78</v>
      </c>
      <c r="BP13" s="17" t="s">
        <v>78</v>
      </c>
      <c r="BQ13" s="17" t="s">
        <v>78</v>
      </c>
      <c r="BR13" s="17" t="s">
        <v>78</v>
      </c>
      <c r="BS13" s="17" t="s">
        <v>78</v>
      </c>
      <c r="BT13" s="17" t="s">
        <v>78</v>
      </c>
      <c r="BU13" s="17" t="s">
        <v>78</v>
      </c>
      <c r="BV13" s="17" t="s">
        <v>78</v>
      </c>
      <c r="BW13" s="17" t="s">
        <v>78</v>
      </c>
      <c r="BX13" s="17" t="s">
        <v>78</v>
      </c>
      <c r="BY13" s="17" t="s">
        <v>78</v>
      </c>
      <c r="BZ13" s="17" t="s">
        <v>78</v>
      </c>
      <c r="CA13" s="17" t="s">
        <v>78</v>
      </c>
      <c r="CB13" s="17" t="s">
        <v>78</v>
      </c>
      <c r="CC13" s="17" t="s">
        <v>78</v>
      </c>
      <c r="CD13" s="17" t="s">
        <v>78</v>
      </c>
      <c r="CE13" s="69" t="s">
        <v>78</v>
      </c>
      <c r="CF13" s="17" t="s">
        <v>78</v>
      </c>
      <c r="CG13" s="17" t="s">
        <v>78</v>
      </c>
      <c r="CH13" s="17" t="s">
        <v>78</v>
      </c>
      <c r="CI13" s="17" t="s">
        <v>78</v>
      </c>
      <c r="CJ13" s="69" t="s">
        <v>78</v>
      </c>
      <c r="CK13" s="23">
        <f t="shared" si="5"/>
        <v>1.3260000000000001E-3</v>
      </c>
      <c r="CL13" s="17" t="s">
        <v>78</v>
      </c>
      <c r="CM13" s="17" t="s">
        <v>78</v>
      </c>
      <c r="CN13" s="23">
        <f t="shared" si="6"/>
        <v>2.2439999999999999E-3</v>
      </c>
      <c r="CO13" s="17" t="s">
        <v>78</v>
      </c>
      <c r="CP13" s="17" t="s">
        <v>78</v>
      </c>
      <c r="CQ13" s="17" t="s">
        <v>78</v>
      </c>
      <c r="CR13" s="17" t="s">
        <v>78</v>
      </c>
      <c r="CS13" s="69" t="s">
        <v>78</v>
      </c>
      <c r="CT13" s="69" t="s">
        <v>78</v>
      </c>
      <c r="CU13" s="17" t="s">
        <v>78</v>
      </c>
      <c r="CV13" s="69" t="s">
        <v>78</v>
      </c>
      <c r="CW13" s="17" t="s">
        <v>78</v>
      </c>
      <c r="CX13" s="60">
        <f t="shared" si="7"/>
        <v>2.9579999999999999E-2</v>
      </c>
      <c r="CY13" s="69" t="s">
        <v>78</v>
      </c>
      <c r="CZ13" s="69" t="s">
        <v>78</v>
      </c>
      <c r="DA13" s="17" t="s">
        <v>78</v>
      </c>
      <c r="DB13" s="17" t="s">
        <v>78</v>
      </c>
      <c r="DC13" s="17" t="s">
        <v>78</v>
      </c>
      <c r="DD13" s="17" t="s">
        <v>78</v>
      </c>
      <c r="DE13" s="92">
        <f t="shared" si="8"/>
        <v>0.1326</v>
      </c>
      <c r="DF13" s="17" t="s">
        <v>78</v>
      </c>
      <c r="DG13" s="17" t="s">
        <v>78</v>
      </c>
      <c r="DH13" s="69" t="s">
        <v>78</v>
      </c>
      <c r="DI13" s="69" t="s">
        <v>78</v>
      </c>
      <c r="DJ13" s="17" t="s">
        <v>78</v>
      </c>
      <c r="DK13" s="17" t="s">
        <v>78</v>
      </c>
      <c r="DL13" s="17" t="s">
        <v>78</v>
      </c>
      <c r="DM13" s="17" t="s">
        <v>78</v>
      </c>
      <c r="DN13" s="60">
        <f t="shared" si="9"/>
        <v>6.5279999999999991E-2</v>
      </c>
      <c r="DO13" s="17" t="s">
        <v>78</v>
      </c>
      <c r="DP13" s="52" t="s">
        <v>78</v>
      </c>
      <c r="DQ13" s="14"/>
      <c r="DR13" s="8"/>
      <c r="DS13" s="8"/>
      <c r="DT13" s="8"/>
      <c r="DU13" s="8"/>
      <c r="DV13" s="8"/>
      <c r="DW13" s="8"/>
      <c r="DX13" s="8"/>
      <c r="DY13" s="8"/>
      <c r="DZ13" s="8"/>
      <c r="EA13" s="8"/>
      <c r="EB13" s="8"/>
    </row>
    <row r="14" spans="2:132" ht="15" thickBot="1" x14ac:dyDescent="0.4">
      <c r="B14" s="126"/>
      <c r="C14" s="282"/>
      <c r="D14" s="9"/>
      <c r="E14" s="118"/>
      <c r="F14" s="54"/>
      <c r="G14" s="314"/>
      <c r="H14" s="528"/>
      <c r="I14" s="69"/>
      <c r="J14" s="69"/>
      <c r="K14" s="17"/>
      <c r="L14" s="69"/>
      <c r="M14" s="17"/>
      <c r="N14" s="17"/>
      <c r="O14" s="17"/>
      <c r="P14" s="69"/>
      <c r="Q14" s="138"/>
      <c r="R14" s="17"/>
      <c r="S14" s="17"/>
      <c r="T14" s="17"/>
      <c r="U14" s="17"/>
      <c r="V14" s="69"/>
      <c r="W14" s="17"/>
      <c r="X14" s="69"/>
      <c r="Y14" s="17"/>
      <c r="Z14" s="17"/>
      <c r="AA14" s="17"/>
      <c r="AB14" s="17"/>
      <c r="AC14" s="77"/>
      <c r="AD14" s="151"/>
      <c r="AE14" s="69"/>
      <c r="AF14" s="60"/>
      <c r="AG14" s="111"/>
      <c r="AH14" s="17"/>
      <c r="AI14" s="17"/>
      <c r="AJ14" s="92"/>
      <c r="AK14" s="69"/>
      <c r="AL14" s="17"/>
      <c r="AM14" s="17"/>
      <c r="AN14" s="17"/>
      <c r="AO14" s="17"/>
      <c r="AP14" s="69"/>
      <c r="AQ14" s="69"/>
      <c r="AR14" s="17"/>
      <c r="AS14" s="17"/>
      <c r="AT14" s="17"/>
      <c r="AU14" s="17"/>
      <c r="AV14" s="17"/>
      <c r="AW14" s="17"/>
      <c r="AX14" s="17"/>
      <c r="AY14" s="17"/>
      <c r="AZ14" s="69"/>
      <c r="BA14" s="17"/>
      <c r="BB14" s="17"/>
      <c r="BC14" s="69"/>
      <c r="BD14" s="69"/>
      <c r="BE14" s="17"/>
      <c r="BF14" s="17"/>
      <c r="BG14" s="17"/>
      <c r="BH14" s="17"/>
      <c r="BI14" s="17"/>
      <c r="BJ14" s="17"/>
      <c r="BK14" s="69"/>
      <c r="BL14" s="69"/>
      <c r="BM14" s="17"/>
      <c r="BN14" s="17"/>
      <c r="BO14" s="17"/>
      <c r="BP14" s="17"/>
      <c r="BQ14" s="17"/>
      <c r="BR14" s="17"/>
      <c r="BS14" s="17"/>
      <c r="BT14" s="17"/>
      <c r="BU14" s="17"/>
      <c r="BV14" s="17"/>
      <c r="BW14" s="17"/>
      <c r="BX14" s="17"/>
      <c r="BY14" s="17"/>
      <c r="BZ14" s="17"/>
      <c r="CA14" s="17"/>
      <c r="CB14" s="17"/>
      <c r="CC14" s="17"/>
      <c r="CD14" s="17"/>
      <c r="CE14" s="69"/>
      <c r="CF14" s="17"/>
      <c r="CG14" s="17"/>
      <c r="CH14" s="17"/>
      <c r="CI14" s="17"/>
      <c r="CJ14" s="69"/>
      <c r="CK14" s="17"/>
      <c r="CL14" s="17"/>
      <c r="CM14" s="17"/>
      <c r="CN14" s="17"/>
      <c r="CO14" s="17"/>
      <c r="CP14" s="17"/>
      <c r="CQ14" s="17"/>
      <c r="CR14" s="17"/>
      <c r="CS14" s="69"/>
      <c r="CT14" s="69"/>
      <c r="CU14" s="17"/>
      <c r="CV14" s="69"/>
      <c r="CW14" s="17"/>
      <c r="CX14" s="60"/>
      <c r="CY14" s="69"/>
      <c r="CZ14" s="69"/>
      <c r="DA14" s="17"/>
      <c r="DB14" s="17"/>
      <c r="DC14" s="17"/>
      <c r="DD14" s="17"/>
      <c r="DE14" s="92"/>
      <c r="DF14" s="17"/>
      <c r="DG14" s="17"/>
      <c r="DH14" s="69"/>
      <c r="DI14" s="69"/>
      <c r="DJ14" s="17"/>
      <c r="DK14" s="17"/>
      <c r="DL14" s="17"/>
      <c r="DM14" s="17"/>
      <c r="DN14" s="60"/>
      <c r="DO14" s="17"/>
      <c r="DP14" s="52"/>
      <c r="DQ14" s="14"/>
      <c r="DR14" s="8"/>
      <c r="DS14" s="8"/>
      <c r="DT14" s="8"/>
      <c r="DU14" s="8"/>
      <c r="DV14" s="8"/>
      <c r="DW14" s="8"/>
      <c r="DX14" s="8"/>
      <c r="DY14" s="8"/>
      <c r="DZ14" s="8"/>
      <c r="EA14" s="8"/>
      <c r="EB14" s="8"/>
    </row>
    <row r="15" spans="2:132" x14ac:dyDescent="0.35">
      <c r="B15" s="117"/>
      <c r="C15" s="280" t="s">
        <v>208</v>
      </c>
      <c r="D15" s="13"/>
      <c r="E15" s="130"/>
      <c r="F15" s="179"/>
      <c r="G15" s="55"/>
      <c r="H15" s="530"/>
      <c r="I15" s="101"/>
      <c r="J15" s="101"/>
      <c r="K15" s="57"/>
      <c r="L15" s="101"/>
      <c r="M15" s="57"/>
      <c r="N15" s="57"/>
      <c r="O15" s="57"/>
      <c r="P15" s="101"/>
      <c r="Q15" s="168"/>
      <c r="R15" s="57"/>
      <c r="S15" s="57"/>
      <c r="T15" s="57"/>
      <c r="U15" s="57"/>
      <c r="V15" s="101"/>
      <c r="W15" s="57"/>
      <c r="X15" s="101"/>
      <c r="Y15" s="57"/>
      <c r="Z15" s="57"/>
      <c r="AA15" s="57"/>
      <c r="AB15" s="57"/>
      <c r="AC15" s="110"/>
      <c r="AD15" s="153"/>
      <c r="AE15" s="101"/>
      <c r="AF15" s="103"/>
      <c r="AG15" s="198"/>
      <c r="AH15" s="57"/>
      <c r="AI15" s="57"/>
      <c r="AJ15" s="146"/>
      <c r="AK15" s="101"/>
      <c r="AL15" s="57"/>
      <c r="AM15" s="57"/>
      <c r="AN15" s="57"/>
      <c r="AO15" s="57"/>
      <c r="AP15" s="101"/>
      <c r="AQ15" s="101"/>
      <c r="AR15" s="57"/>
      <c r="AS15" s="57"/>
      <c r="AT15" s="57"/>
      <c r="AU15" s="57"/>
      <c r="AV15" s="57"/>
      <c r="AW15" s="57"/>
      <c r="AX15" s="57"/>
      <c r="AY15" s="57"/>
      <c r="AZ15" s="101"/>
      <c r="BA15" s="57"/>
      <c r="BB15" s="57"/>
      <c r="BC15" s="101"/>
      <c r="BD15" s="101"/>
      <c r="BE15" s="57"/>
      <c r="BF15" s="57"/>
      <c r="BG15" s="57"/>
      <c r="BH15" s="57"/>
      <c r="BI15" s="57"/>
      <c r="BJ15" s="57"/>
      <c r="BK15" s="101"/>
      <c r="BL15" s="101"/>
      <c r="BM15" s="57"/>
      <c r="BN15" s="57"/>
      <c r="BO15" s="57"/>
      <c r="BP15" s="57"/>
      <c r="BQ15" s="57"/>
      <c r="BR15" s="57"/>
      <c r="BS15" s="57"/>
      <c r="BT15" s="57"/>
      <c r="BU15" s="57"/>
      <c r="BV15" s="57"/>
      <c r="BW15" s="57"/>
      <c r="BX15" s="57"/>
      <c r="BY15" s="57"/>
      <c r="BZ15" s="57"/>
      <c r="CA15" s="57"/>
      <c r="CB15" s="57"/>
      <c r="CC15" s="57"/>
      <c r="CD15" s="57"/>
      <c r="CE15" s="101"/>
      <c r="CF15" s="57"/>
      <c r="CG15" s="57"/>
      <c r="CH15" s="57"/>
      <c r="CI15" s="57"/>
      <c r="CJ15" s="101"/>
      <c r="CK15" s="57"/>
      <c r="CL15" s="57"/>
      <c r="CM15" s="57"/>
      <c r="CN15" s="57"/>
      <c r="CO15" s="57"/>
      <c r="CP15" s="57"/>
      <c r="CQ15" s="57"/>
      <c r="CR15" s="57"/>
      <c r="CS15" s="101"/>
      <c r="CT15" s="101"/>
      <c r="CU15" s="57"/>
      <c r="CV15" s="101"/>
      <c r="CW15" s="57"/>
      <c r="CX15" s="103"/>
      <c r="CY15" s="101"/>
      <c r="CZ15" s="101"/>
      <c r="DA15" s="57"/>
      <c r="DB15" s="57"/>
      <c r="DC15" s="57"/>
      <c r="DD15" s="57"/>
      <c r="DE15" s="146"/>
      <c r="DF15" s="57"/>
      <c r="DG15" s="57"/>
      <c r="DH15" s="101"/>
      <c r="DI15" s="101"/>
      <c r="DJ15" s="57"/>
      <c r="DK15" s="57"/>
      <c r="DL15" s="57"/>
      <c r="DM15" s="57"/>
      <c r="DN15" s="103"/>
      <c r="DO15" s="57"/>
      <c r="DP15" s="320"/>
      <c r="DQ15" s="14"/>
      <c r="DR15" s="8"/>
      <c r="DS15" s="8"/>
      <c r="DT15" s="8"/>
      <c r="DU15" s="8"/>
      <c r="DV15" s="8"/>
      <c r="DW15" s="8"/>
      <c r="DX15" s="8"/>
      <c r="DY15" s="8"/>
      <c r="DZ15" s="8"/>
      <c r="EA15" s="8"/>
      <c r="EB15" s="8"/>
    </row>
    <row r="16" spans="2:132" ht="16.5" x14ac:dyDescent="0.35">
      <c r="B16" s="126"/>
      <c r="C16" s="282"/>
      <c r="D16" s="9">
        <v>20300701</v>
      </c>
      <c r="E16" s="118" t="s">
        <v>209</v>
      </c>
      <c r="F16" s="54" t="s">
        <v>359</v>
      </c>
      <c r="G16" s="314" t="s">
        <v>146</v>
      </c>
      <c r="H16" s="548" t="s">
        <v>456</v>
      </c>
      <c r="I16" s="69" t="s">
        <v>78</v>
      </c>
      <c r="J16" s="69" t="s">
        <v>78</v>
      </c>
      <c r="K16" s="23">
        <f>2.3/10^6*600</f>
        <v>1.3799999999999999E-3</v>
      </c>
      <c r="L16" s="69" t="s">
        <v>78</v>
      </c>
      <c r="M16" s="17" t="s">
        <v>78</v>
      </c>
      <c r="N16" s="183">
        <f>5.8/10^7*600</f>
        <v>3.4799999999999995E-4</v>
      </c>
      <c r="O16" s="17" t="s">
        <v>78</v>
      </c>
      <c r="P16" s="115">
        <f>1.2/10^6*600</f>
        <v>7.1999999999999994E-4</v>
      </c>
      <c r="Q16" s="138" t="s">
        <v>78</v>
      </c>
      <c r="R16" s="17" t="s">
        <v>78</v>
      </c>
      <c r="S16" s="23">
        <f>3.4/10^6*600</f>
        <v>2.0400000000000001E-3</v>
      </c>
      <c r="T16" s="17" t="s">
        <v>78</v>
      </c>
      <c r="U16" s="17" t="s">
        <v>78</v>
      </c>
      <c r="V16" s="69" t="s">
        <v>78</v>
      </c>
      <c r="W16" s="60">
        <f>2/10^6*600</f>
        <v>1.1999999999999999E-3</v>
      </c>
      <c r="X16" s="69" t="s">
        <v>78</v>
      </c>
      <c r="Y16" s="60">
        <f>1.1/10^5*600</f>
        <v>6.6000000000000008E-3</v>
      </c>
      <c r="Z16" s="17" t="s">
        <v>78</v>
      </c>
      <c r="AA16" s="17" t="s">
        <v>78</v>
      </c>
      <c r="AB16" s="17" t="s">
        <v>78</v>
      </c>
      <c r="AC16" s="77" t="s">
        <v>78</v>
      </c>
      <c r="AD16" s="151" t="s">
        <v>78</v>
      </c>
      <c r="AE16" s="69" t="s">
        <v>78</v>
      </c>
      <c r="AF16" s="60">
        <f>5.3/10^5*600</f>
        <v>3.1800000000000002E-2</v>
      </c>
      <c r="AG16" s="111" t="s">
        <v>78</v>
      </c>
      <c r="AH16" s="17" t="s">
        <v>78</v>
      </c>
      <c r="AI16" s="17" t="s">
        <v>78</v>
      </c>
      <c r="AJ16" s="92" t="s">
        <v>78</v>
      </c>
      <c r="AK16" s="69" t="s">
        <v>78</v>
      </c>
      <c r="AL16" s="17" t="s">
        <v>78</v>
      </c>
      <c r="AM16" s="17" t="s">
        <v>78</v>
      </c>
      <c r="AN16" s="17" t="s">
        <v>78</v>
      </c>
      <c r="AO16" s="17" t="s">
        <v>78</v>
      </c>
      <c r="AP16" s="69" t="s">
        <v>78</v>
      </c>
      <c r="AQ16" s="69" t="s">
        <v>78</v>
      </c>
      <c r="AR16" s="17" t="s">
        <v>78</v>
      </c>
      <c r="AS16" s="23">
        <f>9.8/10^6*600</f>
        <v>5.8800000000000007E-3</v>
      </c>
      <c r="AT16" s="17" t="s">
        <v>78</v>
      </c>
      <c r="AU16" s="92">
        <f>2/10^5*600</f>
        <v>1.2E-2</v>
      </c>
      <c r="AV16" s="17" t="s">
        <v>78</v>
      </c>
      <c r="AW16" s="60">
        <f>1.6/10^5*600</f>
        <v>9.5999999999999992E-3</v>
      </c>
      <c r="AX16" s="60">
        <f>1.7/10^5*600</f>
        <v>1.0200000000000001E-2</v>
      </c>
      <c r="AY16" s="17" t="s">
        <v>78</v>
      </c>
      <c r="AZ16" s="69" t="s">
        <v>78</v>
      </c>
      <c r="BA16" s="17" t="s">
        <v>78</v>
      </c>
      <c r="BB16" s="17" t="s">
        <v>78</v>
      </c>
      <c r="BC16" s="69" t="s">
        <v>78</v>
      </c>
      <c r="BD16" s="69" t="s">
        <v>78</v>
      </c>
      <c r="BE16" s="92">
        <f>2/10^5*600</f>
        <v>1.2E-2</v>
      </c>
      <c r="BF16" s="17" t="s">
        <v>78</v>
      </c>
      <c r="BG16" s="17" t="s">
        <v>78</v>
      </c>
      <c r="BH16" s="17" t="s">
        <v>78</v>
      </c>
      <c r="BI16" s="17" t="s">
        <v>78</v>
      </c>
      <c r="BJ16" s="60">
        <f>1.5/10^5*600</f>
        <v>9.0000000000000011E-3</v>
      </c>
      <c r="BK16" s="69" t="s">
        <v>78</v>
      </c>
      <c r="BL16" s="69" t="s">
        <v>78</v>
      </c>
      <c r="BM16" s="92">
        <f>1.9/10^4*600</f>
        <v>0.11399999999999999</v>
      </c>
      <c r="BN16" s="17" t="s">
        <v>78</v>
      </c>
      <c r="BO16" s="17" t="s">
        <v>78</v>
      </c>
      <c r="BP16" s="17" t="s">
        <v>78</v>
      </c>
      <c r="BQ16" s="17" t="s">
        <v>78</v>
      </c>
      <c r="BR16" s="17" t="s">
        <v>78</v>
      </c>
      <c r="BS16" s="17" t="s">
        <v>78</v>
      </c>
      <c r="BT16" s="17" t="s">
        <v>78</v>
      </c>
      <c r="BU16" s="17" t="s">
        <v>78</v>
      </c>
      <c r="BV16" s="17" t="s">
        <v>78</v>
      </c>
      <c r="BW16" s="17" t="s">
        <v>78</v>
      </c>
      <c r="BX16" s="17" t="s">
        <v>78</v>
      </c>
      <c r="BY16" s="17" t="s">
        <v>78</v>
      </c>
      <c r="BZ16" s="17" t="s">
        <v>78</v>
      </c>
      <c r="CA16" s="17" t="s">
        <v>78</v>
      </c>
      <c r="CB16" s="17" t="s">
        <v>78</v>
      </c>
      <c r="CC16" s="17" t="s">
        <v>78</v>
      </c>
      <c r="CD16" s="17" t="s">
        <v>78</v>
      </c>
      <c r="CE16" s="69" t="s">
        <v>78</v>
      </c>
      <c r="CF16" s="17" t="s">
        <v>78</v>
      </c>
      <c r="CG16" s="17" t="s">
        <v>78</v>
      </c>
      <c r="CH16" s="17" t="s">
        <v>78</v>
      </c>
      <c r="CI16" s="60">
        <f>1.3/10^5*600</f>
        <v>7.8000000000000005E-3</v>
      </c>
      <c r="CJ16" s="69" t="s">
        <v>78</v>
      </c>
      <c r="CK16" s="17" t="s">
        <v>78</v>
      </c>
      <c r="CL16" s="17" t="s">
        <v>78</v>
      </c>
      <c r="CM16" s="17" t="s">
        <v>78</v>
      </c>
      <c r="CN16" s="17" t="s">
        <v>78</v>
      </c>
      <c r="CO16" s="17" t="s">
        <v>78</v>
      </c>
      <c r="CP16" s="17" t="s">
        <v>78</v>
      </c>
      <c r="CQ16" s="17" t="s">
        <v>78</v>
      </c>
      <c r="CR16" s="60">
        <f>2.1/10^5*600</f>
        <v>1.2600000000000002E-2</v>
      </c>
      <c r="CS16" s="69" t="s">
        <v>78</v>
      </c>
      <c r="CT16" s="69" t="s">
        <v>78</v>
      </c>
      <c r="CU16" s="17" t="s">
        <v>78</v>
      </c>
      <c r="CV16" s="69" t="s">
        <v>78</v>
      </c>
      <c r="CW16" s="17" t="s">
        <v>78</v>
      </c>
      <c r="CX16" s="60" t="s">
        <v>78</v>
      </c>
      <c r="CY16" s="69" t="s">
        <v>78</v>
      </c>
      <c r="CZ16" s="69" t="s">
        <v>78</v>
      </c>
      <c r="DA16" s="17" t="s">
        <v>78</v>
      </c>
      <c r="DB16" s="17" t="s">
        <v>78</v>
      </c>
      <c r="DC16" s="17" t="s">
        <v>78</v>
      </c>
      <c r="DD16" s="17" t="s">
        <v>78</v>
      </c>
      <c r="DE16" s="92" t="s">
        <v>78</v>
      </c>
      <c r="DF16" s="60">
        <f>1.8/10^5*600</f>
        <v>1.0800000000000001E-2</v>
      </c>
      <c r="DG16" s="17" t="s">
        <v>78</v>
      </c>
      <c r="DH16" s="69" t="s">
        <v>78</v>
      </c>
      <c r="DI16" s="69" t="s">
        <v>78</v>
      </c>
      <c r="DJ16" s="17" t="s">
        <v>78</v>
      </c>
      <c r="DK16" s="17" t="s">
        <v>78</v>
      </c>
      <c r="DL16" s="60">
        <f>3.6/10^5*600</f>
        <v>2.1600000000000001E-2</v>
      </c>
      <c r="DM16" s="60">
        <f>1.5/10^5*600</f>
        <v>9.0000000000000011E-3</v>
      </c>
      <c r="DN16" s="60" t="s">
        <v>78</v>
      </c>
      <c r="DO16" s="17" t="s">
        <v>78</v>
      </c>
      <c r="DP16" s="52" t="s">
        <v>78</v>
      </c>
      <c r="DQ16" s="14"/>
      <c r="DR16" s="8"/>
      <c r="DS16" s="8"/>
      <c r="DT16" s="8"/>
      <c r="DU16" s="8"/>
      <c r="DV16" s="8"/>
      <c r="DW16" s="8"/>
      <c r="DX16" s="8"/>
      <c r="DY16" s="8"/>
      <c r="DZ16" s="8"/>
      <c r="EA16" s="8"/>
      <c r="EB16" s="8"/>
    </row>
    <row r="17" spans="2:132" ht="15" thickBot="1" x14ac:dyDescent="0.4">
      <c r="B17" s="126"/>
      <c r="C17" s="282"/>
      <c r="D17" s="9"/>
      <c r="E17" s="118"/>
      <c r="F17" s="54"/>
      <c r="G17" s="314"/>
      <c r="H17" s="528"/>
      <c r="I17" s="69"/>
      <c r="J17" s="69"/>
      <c r="K17" s="23"/>
      <c r="L17" s="69"/>
      <c r="M17" s="17"/>
      <c r="N17" s="183"/>
      <c r="O17" s="17"/>
      <c r="P17" s="115"/>
      <c r="Q17" s="138"/>
      <c r="R17" s="17"/>
      <c r="S17" s="23"/>
      <c r="T17" s="17"/>
      <c r="U17" s="17"/>
      <c r="V17" s="69"/>
      <c r="W17" s="60"/>
      <c r="X17" s="69"/>
      <c r="Y17" s="60"/>
      <c r="Z17" s="17"/>
      <c r="AA17" s="17"/>
      <c r="AB17" s="17"/>
      <c r="AC17" s="77"/>
      <c r="AD17" s="151"/>
      <c r="AE17" s="69"/>
      <c r="AF17" s="60"/>
      <c r="AG17" s="111"/>
      <c r="AH17" s="17"/>
      <c r="AI17" s="17"/>
      <c r="AJ17" s="92"/>
      <c r="AK17" s="69"/>
      <c r="AL17" s="17"/>
      <c r="AM17" s="17"/>
      <c r="AN17" s="17"/>
      <c r="AO17" s="17"/>
      <c r="AP17" s="69"/>
      <c r="AQ17" s="69"/>
      <c r="AR17" s="17"/>
      <c r="AS17" s="23"/>
      <c r="AT17" s="17"/>
      <c r="AU17" s="92"/>
      <c r="AV17" s="17"/>
      <c r="AW17" s="60"/>
      <c r="AX17" s="60"/>
      <c r="AY17" s="17"/>
      <c r="AZ17" s="69"/>
      <c r="BA17" s="17"/>
      <c r="BB17" s="17"/>
      <c r="BC17" s="69"/>
      <c r="BD17" s="69"/>
      <c r="BE17" s="92"/>
      <c r="BF17" s="17"/>
      <c r="BG17" s="17"/>
      <c r="BH17" s="17"/>
      <c r="BI17" s="17"/>
      <c r="BJ17" s="60"/>
      <c r="BK17" s="69"/>
      <c r="BL17" s="69"/>
      <c r="BM17" s="92"/>
      <c r="BN17" s="17"/>
      <c r="BO17" s="17"/>
      <c r="BP17" s="17"/>
      <c r="BQ17" s="17"/>
      <c r="BR17" s="17"/>
      <c r="BS17" s="17"/>
      <c r="BT17" s="17"/>
      <c r="BU17" s="17"/>
      <c r="BV17" s="17"/>
      <c r="BW17" s="17"/>
      <c r="BX17" s="17"/>
      <c r="BY17" s="17"/>
      <c r="BZ17" s="17"/>
      <c r="CA17" s="17"/>
      <c r="CB17" s="17"/>
      <c r="CC17" s="17"/>
      <c r="CD17" s="17"/>
      <c r="CE17" s="69"/>
      <c r="CF17" s="17"/>
      <c r="CG17" s="17"/>
      <c r="CH17" s="17"/>
      <c r="CI17" s="60"/>
      <c r="CJ17" s="69"/>
      <c r="CK17" s="17"/>
      <c r="CL17" s="17"/>
      <c r="CM17" s="17"/>
      <c r="CN17" s="17"/>
      <c r="CO17" s="17"/>
      <c r="CP17" s="17"/>
      <c r="CQ17" s="17"/>
      <c r="CR17" s="60"/>
      <c r="CS17" s="69"/>
      <c r="CT17" s="69"/>
      <c r="CU17" s="17"/>
      <c r="CV17" s="69"/>
      <c r="CW17" s="17"/>
      <c r="CX17" s="60"/>
      <c r="CY17" s="69"/>
      <c r="CZ17" s="69"/>
      <c r="DA17" s="17"/>
      <c r="DB17" s="17"/>
      <c r="DC17" s="17"/>
      <c r="DD17" s="17"/>
      <c r="DE17" s="92"/>
      <c r="DF17" s="60"/>
      <c r="DG17" s="17"/>
      <c r="DH17" s="69"/>
      <c r="DI17" s="69"/>
      <c r="DJ17" s="17"/>
      <c r="DK17" s="17"/>
      <c r="DL17" s="60"/>
      <c r="DM17" s="60"/>
      <c r="DN17" s="60"/>
      <c r="DO17" s="17"/>
      <c r="DP17" s="52"/>
      <c r="DQ17" s="14"/>
      <c r="DR17" s="8"/>
      <c r="DS17" s="8"/>
      <c r="DT17" s="8"/>
      <c r="DU17" s="8"/>
      <c r="DV17" s="8"/>
      <c r="DW17" s="8"/>
      <c r="DX17" s="8"/>
      <c r="DY17" s="8"/>
      <c r="DZ17" s="8"/>
      <c r="EA17" s="8"/>
      <c r="EB17" s="8"/>
    </row>
    <row r="18" spans="2:132" x14ac:dyDescent="0.35">
      <c r="B18" s="410"/>
      <c r="C18" s="280" t="s">
        <v>342</v>
      </c>
      <c r="D18" s="13"/>
      <c r="E18" s="130"/>
      <c r="F18" s="179"/>
      <c r="G18" s="55"/>
      <c r="H18" s="530"/>
      <c r="I18" s="101"/>
      <c r="J18" s="101"/>
      <c r="K18" s="102"/>
      <c r="L18" s="101"/>
      <c r="M18" s="57"/>
      <c r="N18" s="246"/>
      <c r="O18" s="57"/>
      <c r="P18" s="247"/>
      <c r="Q18" s="168"/>
      <c r="R18" s="57"/>
      <c r="S18" s="102"/>
      <c r="T18" s="57"/>
      <c r="U18" s="57"/>
      <c r="V18" s="101"/>
      <c r="W18" s="103"/>
      <c r="X18" s="101"/>
      <c r="Y18" s="103"/>
      <c r="Z18" s="57"/>
      <c r="AA18" s="57"/>
      <c r="AB18" s="57"/>
      <c r="AC18" s="110"/>
      <c r="AD18" s="153"/>
      <c r="AE18" s="101"/>
      <c r="AF18" s="103"/>
      <c r="AG18" s="198"/>
      <c r="AH18" s="57"/>
      <c r="AI18" s="57"/>
      <c r="AJ18" s="146"/>
      <c r="AK18" s="101"/>
      <c r="AL18" s="57"/>
      <c r="AM18" s="57"/>
      <c r="AN18" s="57"/>
      <c r="AO18" s="57"/>
      <c r="AP18" s="101"/>
      <c r="AQ18" s="101"/>
      <c r="AR18" s="57"/>
      <c r="AS18" s="102"/>
      <c r="AT18" s="57"/>
      <c r="AU18" s="146"/>
      <c r="AV18" s="57"/>
      <c r="AW18" s="103"/>
      <c r="AX18" s="103"/>
      <c r="AY18" s="57"/>
      <c r="AZ18" s="101"/>
      <c r="BA18" s="57"/>
      <c r="BB18" s="57"/>
      <c r="BC18" s="101"/>
      <c r="BD18" s="101"/>
      <c r="BE18" s="146"/>
      <c r="BF18" s="57"/>
      <c r="BG18" s="57"/>
      <c r="BH18" s="57"/>
      <c r="BI18" s="57"/>
      <c r="BJ18" s="103"/>
      <c r="BK18" s="101"/>
      <c r="BL18" s="101"/>
      <c r="BM18" s="146"/>
      <c r="BN18" s="57"/>
      <c r="BO18" s="57"/>
      <c r="BP18" s="57"/>
      <c r="BQ18" s="57"/>
      <c r="BR18" s="57"/>
      <c r="BS18" s="57"/>
      <c r="BT18" s="57"/>
      <c r="BU18" s="57"/>
      <c r="BV18" s="57"/>
      <c r="BW18" s="57"/>
      <c r="BX18" s="57"/>
      <c r="BY18" s="57"/>
      <c r="BZ18" s="57"/>
      <c r="CA18" s="57"/>
      <c r="CB18" s="57"/>
      <c r="CC18" s="57"/>
      <c r="CD18" s="57"/>
      <c r="CE18" s="101"/>
      <c r="CF18" s="57"/>
      <c r="CG18" s="57"/>
      <c r="CH18" s="57"/>
      <c r="CI18" s="103"/>
      <c r="CJ18" s="101"/>
      <c r="CK18" s="57"/>
      <c r="CL18" s="57"/>
      <c r="CM18" s="57"/>
      <c r="CN18" s="57"/>
      <c r="CO18" s="57"/>
      <c r="CP18" s="57"/>
      <c r="CQ18" s="57"/>
      <c r="CR18" s="103"/>
      <c r="CS18" s="101"/>
      <c r="CT18" s="101"/>
      <c r="CU18" s="57"/>
      <c r="CV18" s="101"/>
      <c r="CW18" s="57"/>
      <c r="CX18" s="103"/>
      <c r="CY18" s="101"/>
      <c r="CZ18" s="101"/>
      <c r="DA18" s="57"/>
      <c r="DB18" s="57"/>
      <c r="DC18" s="57"/>
      <c r="DD18" s="57"/>
      <c r="DE18" s="146"/>
      <c r="DF18" s="103"/>
      <c r="DG18" s="57"/>
      <c r="DH18" s="101"/>
      <c r="DI18" s="101"/>
      <c r="DJ18" s="57"/>
      <c r="DK18" s="57"/>
      <c r="DL18" s="103"/>
      <c r="DM18" s="103"/>
      <c r="DN18" s="103"/>
      <c r="DO18" s="57"/>
      <c r="DP18" s="320"/>
      <c r="DQ18" s="14"/>
      <c r="DR18" s="8"/>
      <c r="DS18" s="8"/>
      <c r="DT18" s="8"/>
      <c r="DU18" s="8"/>
      <c r="DV18" s="8"/>
      <c r="DW18" s="8"/>
      <c r="DX18" s="8"/>
      <c r="DY18" s="8"/>
      <c r="DZ18" s="8"/>
      <c r="EA18" s="8"/>
      <c r="EB18" s="8"/>
    </row>
    <row r="19" spans="2:132" ht="16.5" x14ac:dyDescent="0.35">
      <c r="B19" s="126"/>
      <c r="C19" s="282"/>
      <c r="D19" s="9" t="s">
        <v>343</v>
      </c>
      <c r="E19" s="118" t="s">
        <v>367</v>
      </c>
      <c r="F19" s="54" t="s">
        <v>371</v>
      </c>
      <c r="G19" s="314" t="s">
        <v>145</v>
      </c>
      <c r="H19" s="548" t="s">
        <v>456</v>
      </c>
      <c r="I19" s="69" t="s">
        <v>78</v>
      </c>
      <c r="J19" s="69" t="s">
        <v>78</v>
      </c>
      <c r="K19" s="17">
        <v>1.6000000000000001E-3</v>
      </c>
      <c r="L19" s="69"/>
      <c r="M19" s="17"/>
      <c r="N19" s="17">
        <v>1.5E-3</v>
      </c>
      <c r="O19" s="17">
        <v>1E-4</v>
      </c>
      <c r="P19" s="69">
        <v>5.9999999999999995E-4</v>
      </c>
      <c r="Q19" s="138"/>
      <c r="R19" s="17">
        <v>4.1000000000000003E-3</v>
      </c>
      <c r="S19" s="17">
        <v>8.3000000000000001E-3</v>
      </c>
      <c r="T19" s="17">
        <v>3.0999999999999999E-3</v>
      </c>
      <c r="U19" s="60">
        <v>2E-3</v>
      </c>
      <c r="V19" s="69"/>
      <c r="W19" s="17">
        <v>3.8999999999999998E-3</v>
      </c>
      <c r="X19" s="69"/>
      <c r="Y19" s="17">
        <v>2.2000000000000001E-3</v>
      </c>
      <c r="Z19" s="17" t="s">
        <v>78</v>
      </c>
      <c r="AA19" s="17" t="s">
        <v>78</v>
      </c>
      <c r="AB19" s="17" t="s">
        <v>78</v>
      </c>
      <c r="AC19" s="77">
        <v>2.24E-2</v>
      </c>
      <c r="AD19" s="69" t="s">
        <v>78</v>
      </c>
      <c r="AE19" s="69" t="s">
        <v>78</v>
      </c>
      <c r="AF19" s="60">
        <v>0.7833</v>
      </c>
      <c r="AG19" s="111"/>
      <c r="AH19" s="17">
        <v>3.39E-2</v>
      </c>
      <c r="AI19" s="17"/>
      <c r="AJ19" s="60">
        <v>2.9</v>
      </c>
      <c r="AK19" s="69" t="s">
        <v>78</v>
      </c>
      <c r="AL19" s="17" t="s">
        <v>78</v>
      </c>
      <c r="AM19" s="17">
        <v>0.18629999999999999</v>
      </c>
      <c r="AN19" s="17" t="s">
        <v>78</v>
      </c>
      <c r="AO19" s="17" t="s">
        <v>78</v>
      </c>
      <c r="AP19" s="69" t="s">
        <v>78</v>
      </c>
      <c r="AQ19" s="69" t="s">
        <v>78</v>
      </c>
      <c r="AR19" s="17" t="s">
        <v>78</v>
      </c>
      <c r="AS19" s="17">
        <v>0.21740000000000001</v>
      </c>
      <c r="AT19" s="17"/>
      <c r="AU19" s="17" t="s">
        <v>78</v>
      </c>
      <c r="AV19" s="17" t="s">
        <v>78</v>
      </c>
      <c r="AW19" s="17">
        <v>2.0000000000000001E-4</v>
      </c>
      <c r="AX19" s="17" t="s">
        <v>78</v>
      </c>
      <c r="AY19" s="17" t="s">
        <v>78</v>
      </c>
      <c r="AZ19" s="17" t="s">
        <v>78</v>
      </c>
      <c r="BA19" s="17" t="s">
        <v>78</v>
      </c>
      <c r="BB19" s="17" t="s">
        <v>78</v>
      </c>
      <c r="BC19" s="69" t="s">
        <v>78</v>
      </c>
      <c r="BD19" s="69" t="s">
        <v>78</v>
      </c>
      <c r="BE19" s="17" t="s">
        <v>78</v>
      </c>
      <c r="BF19" s="17" t="s">
        <v>78</v>
      </c>
      <c r="BG19" s="17">
        <v>1.09E-2</v>
      </c>
      <c r="BH19" s="17"/>
      <c r="BI19" s="17" t="s">
        <v>78</v>
      </c>
      <c r="BJ19" s="17" t="s">
        <v>78</v>
      </c>
      <c r="BK19" s="69" t="s">
        <v>78</v>
      </c>
      <c r="BL19" s="69" t="s">
        <v>78</v>
      </c>
      <c r="BM19" s="17">
        <v>1.7261</v>
      </c>
      <c r="BN19" s="17"/>
      <c r="BO19" s="17"/>
      <c r="BP19" s="17"/>
      <c r="BQ19" s="17"/>
      <c r="BR19" s="17"/>
      <c r="BS19" s="17"/>
      <c r="BT19" s="17"/>
      <c r="BU19" s="17"/>
      <c r="BV19" s="17"/>
      <c r="BW19" s="17"/>
      <c r="BX19" s="17">
        <v>2.69E-2</v>
      </c>
      <c r="BY19" s="17">
        <v>0.18629999999999999</v>
      </c>
      <c r="BZ19" s="17" t="s">
        <v>78</v>
      </c>
      <c r="CA19" s="17" t="s">
        <v>78</v>
      </c>
      <c r="CB19" s="17" t="s">
        <v>78</v>
      </c>
      <c r="CC19" s="17" t="s">
        <v>78</v>
      </c>
      <c r="CD19" s="17" t="s">
        <v>78</v>
      </c>
      <c r="CE19" s="69" t="s">
        <v>78</v>
      </c>
      <c r="CF19" s="17" t="s">
        <v>78</v>
      </c>
      <c r="CG19" s="17" t="s">
        <v>78</v>
      </c>
      <c r="CH19" s="17" t="s">
        <v>78</v>
      </c>
      <c r="CI19" s="17" t="s">
        <v>78</v>
      </c>
      <c r="CJ19" s="69" t="s">
        <v>78</v>
      </c>
      <c r="CK19" s="17">
        <v>1.9699999999999999E-2</v>
      </c>
      <c r="CL19" s="17"/>
      <c r="CM19" s="17"/>
      <c r="CN19" s="17">
        <v>3.6200000000000003E-2</v>
      </c>
      <c r="CO19" s="17"/>
      <c r="CP19" s="17"/>
      <c r="CQ19" s="17"/>
      <c r="CR19" s="17" t="s">
        <v>78</v>
      </c>
      <c r="CS19" s="69" t="s">
        <v>78</v>
      </c>
      <c r="CT19" s="69" t="s">
        <v>78</v>
      </c>
      <c r="CU19" s="17" t="s">
        <v>78</v>
      </c>
      <c r="CV19" s="69" t="s">
        <v>78</v>
      </c>
      <c r="CW19" s="60">
        <v>0.46700000000000003</v>
      </c>
      <c r="CX19" s="17" t="s">
        <v>78</v>
      </c>
      <c r="CY19" s="69" t="s">
        <v>78</v>
      </c>
      <c r="CZ19" s="69" t="s">
        <v>78</v>
      </c>
      <c r="DA19" s="17" t="s">
        <v>78</v>
      </c>
      <c r="DB19" s="17" t="s">
        <v>78</v>
      </c>
      <c r="DC19" s="17" t="s">
        <v>78</v>
      </c>
      <c r="DD19" s="17" t="s">
        <v>78</v>
      </c>
      <c r="DE19" s="60">
        <v>0.10539999999999999</v>
      </c>
      <c r="DF19" s="17" t="s">
        <v>78</v>
      </c>
      <c r="DG19" s="17" t="s">
        <v>78</v>
      </c>
      <c r="DH19" s="69" t="s">
        <v>78</v>
      </c>
      <c r="DI19" s="69" t="s">
        <v>78</v>
      </c>
      <c r="DJ19" s="17" t="s">
        <v>78</v>
      </c>
      <c r="DK19" s="17" t="s">
        <v>78</v>
      </c>
      <c r="DL19" s="17" t="s">
        <v>78</v>
      </c>
      <c r="DM19" s="17" t="s">
        <v>78</v>
      </c>
      <c r="DN19" s="60">
        <v>4.24E-2</v>
      </c>
      <c r="DO19" s="17" t="s">
        <v>78</v>
      </c>
      <c r="DP19" s="52" t="s">
        <v>78</v>
      </c>
      <c r="DQ19" s="17"/>
      <c r="DR19" s="8"/>
      <c r="DS19" s="8"/>
      <c r="DT19" s="8"/>
      <c r="DU19" s="8"/>
      <c r="DV19" s="8"/>
      <c r="DW19" s="8"/>
      <c r="DX19" s="8"/>
      <c r="DY19" s="8"/>
      <c r="DZ19" s="8"/>
      <c r="EA19" s="8"/>
      <c r="EB19" s="8"/>
    </row>
    <row r="20" spans="2:132" ht="15" thickBot="1" x14ac:dyDescent="0.4">
      <c r="B20" s="127"/>
      <c r="C20" s="283"/>
      <c r="D20" s="11"/>
      <c r="E20" s="87"/>
      <c r="F20" s="89"/>
      <c r="G20" s="56"/>
      <c r="H20" s="529"/>
      <c r="I20" s="99"/>
      <c r="J20" s="99"/>
      <c r="K20" s="53"/>
      <c r="L20" s="99"/>
      <c r="M20" s="53"/>
      <c r="N20" s="53"/>
      <c r="O20" s="53"/>
      <c r="P20" s="99"/>
      <c r="Q20" s="175"/>
      <c r="R20" s="53"/>
      <c r="S20" s="53"/>
      <c r="T20" s="53"/>
      <c r="U20" s="53"/>
      <c r="V20" s="99"/>
      <c r="W20" s="53"/>
      <c r="X20" s="99"/>
      <c r="Y20" s="53"/>
      <c r="Z20" s="53"/>
      <c r="AA20" s="53"/>
      <c r="AB20" s="53"/>
      <c r="AC20" s="109"/>
      <c r="AD20" s="177"/>
      <c r="AE20" s="99"/>
      <c r="AF20" s="104"/>
      <c r="AG20" s="199"/>
      <c r="AH20" s="53"/>
      <c r="AI20" s="53"/>
      <c r="AJ20" s="53"/>
      <c r="AK20" s="99"/>
      <c r="AL20" s="53"/>
      <c r="AM20" s="53"/>
      <c r="AN20" s="53"/>
      <c r="AO20" s="53"/>
      <c r="AP20" s="99"/>
      <c r="AQ20" s="99"/>
      <c r="AR20" s="53"/>
      <c r="AS20" s="53"/>
      <c r="AT20" s="53"/>
      <c r="AU20" s="53"/>
      <c r="AV20" s="53"/>
      <c r="AW20" s="53"/>
      <c r="AX20" s="53"/>
      <c r="AY20" s="53"/>
      <c r="AZ20" s="99"/>
      <c r="BA20" s="53"/>
      <c r="BB20" s="53"/>
      <c r="BC20" s="99"/>
      <c r="BD20" s="99"/>
      <c r="BE20" s="53"/>
      <c r="BF20" s="53"/>
      <c r="BG20" s="53"/>
      <c r="BH20" s="53"/>
      <c r="BI20" s="53"/>
      <c r="BJ20" s="53"/>
      <c r="BK20" s="99"/>
      <c r="BL20" s="99"/>
      <c r="BM20" s="53"/>
      <c r="BN20" s="53"/>
      <c r="BO20" s="53"/>
      <c r="BP20" s="53"/>
      <c r="BQ20" s="53"/>
      <c r="BR20" s="53"/>
      <c r="BS20" s="53"/>
      <c r="BT20" s="53"/>
      <c r="BU20" s="53"/>
      <c r="BV20" s="53"/>
      <c r="BW20" s="53"/>
      <c r="BX20" s="53"/>
      <c r="BY20" s="53"/>
      <c r="BZ20" s="53"/>
      <c r="CA20" s="53"/>
      <c r="CB20" s="53"/>
      <c r="CC20" s="53"/>
      <c r="CD20" s="53"/>
      <c r="CE20" s="99"/>
      <c r="CF20" s="53"/>
      <c r="CG20" s="53"/>
      <c r="CH20" s="53"/>
      <c r="CI20" s="53"/>
      <c r="CJ20" s="99"/>
      <c r="CK20" s="53"/>
      <c r="CL20" s="53"/>
      <c r="CM20" s="53"/>
      <c r="CN20" s="53"/>
      <c r="CO20" s="53"/>
      <c r="CP20" s="53"/>
      <c r="CQ20" s="53"/>
      <c r="CR20" s="53"/>
      <c r="CS20" s="99"/>
      <c r="CT20" s="99"/>
      <c r="CU20" s="53"/>
      <c r="CV20" s="99"/>
      <c r="CW20" s="53"/>
      <c r="CX20" s="104"/>
      <c r="CY20" s="99"/>
      <c r="CZ20" s="99"/>
      <c r="DA20" s="53"/>
      <c r="DB20" s="53"/>
      <c r="DC20" s="53"/>
      <c r="DD20" s="53"/>
      <c r="DE20" s="105"/>
      <c r="DF20" s="53"/>
      <c r="DG20" s="53"/>
      <c r="DH20" s="99"/>
      <c r="DI20" s="99"/>
      <c r="DJ20" s="53"/>
      <c r="DK20" s="53"/>
      <c r="DL20" s="53"/>
      <c r="DM20" s="53"/>
      <c r="DN20" s="104"/>
      <c r="DO20" s="53"/>
      <c r="DP20" s="319"/>
      <c r="DQ20" s="14"/>
      <c r="DR20" s="8"/>
      <c r="DS20" s="8"/>
      <c r="DT20" s="8"/>
      <c r="DU20" s="8"/>
      <c r="DV20" s="8"/>
      <c r="DW20" s="8"/>
      <c r="DX20" s="8"/>
      <c r="DY20" s="8"/>
      <c r="DZ20" s="8"/>
      <c r="EA20" s="8"/>
      <c r="EB20" s="8"/>
    </row>
    <row r="21" spans="2:132" x14ac:dyDescent="0.35">
      <c r="B21" s="117"/>
      <c r="C21" s="280" t="s">
        <v>172</v>
      </c>
      <c r="D21" s="13"/>
      <c r="E21" s="88"/>
      <c r="F21" s="100"/>
      <c r="G21" s="55"/>
      <c r="H21" s="530"/>
      <c r="I21" s="101"/>
      <c r="J21" s="101"/>
      <c r="K21" s="57"/>
      <c r="L21" s="101"/>
      <c r="M21" s="57"/>
      <c r="N21" s="57"/>
      <c r="O21" s="57"/>
      <c r="P21" s="101"/>
      <c r="Q21" s="168"/>
      <c r="R21" s="57"/>
      <c r="S21" s="57"/>
      <c r="T21" s="57"/>
      <c r="U21" s="57"/>
      <c r="V21" s="101"/>
      <c r="W21" s="57"/>
      <c r="X21" s="101"/>
      <c r="Y21" s="57"/>
      <c r="Z21" s="57"/>
      <c r="AA21" s="57"/>
      <c r="AB21" s="57"/>
      <c r="AC21" s="110"/>
      <c r="AD21" s="153"/>
      <c r="AE21" s="101"/>
      <c r="AF21" s="102"/>
      <c r="AG21" s="198"/>
      <c r="AH21" s="57"/>
      <c r="AI21" s="57"/>
      <c r="AJ21" s="57"/>
      <c r="AK21" s="101"/>
      <c r="AL21" s="57"/>
      <c r="AM21" s="57"/>
      <c r="AN21" s="57"/>
      <c r="AO21" s="57"/>
      <c r="AP21" s="101"/>
      <c r="AQ21" s="101"/>
      <c r="AR21" s="57"/>
      <c r="AS21" s="57"/>
      <c r="AT21" s="57"/>
      <c r="AU21" s="57"/>
      <c r="AV21" s="57"/>
      <c r="AW21" s="57"/>
      <c r="AX21" s="57"/>
      <c r="AY21" s="57"/>
      <c r="AZ21" s="101"/>
      <c r="BA21" s="57"/>
      <c r="BB21" s="57"/>
      <c r="BC21" s="101"/>
      <c r="BD21" s="101"/>
      <c r="BE21" s="57"/>
      <c r="BF21" s="57"/>
      <c r="BG21" s="57"/>
      <c r="BH21" s="57"/>
      <c r="BI21" s="57"/>
      <c r="BJ21" s="57"/>
      <c r="BK21" s="101"/>
      <c r="BL21" s="101"/>
      <c r="BM21" s="57"/>
      <c r="BN21" s="57"/>
      <c r="BO21" s="57"/>
      <c r="BP21" s="57"/>
      <c r="BQ21" s="57"/>
      <c r="BR21" s="57"/>
      <c r="BS21" s="57"/>
      <c r="BT21" s="57"/>
      <c r="BU21" s="57"/>
      <c r="BV21" s="57"/>
      <c r="BW21" s="57"/>
      <c r="BX21" s="57"/>
      <c r="BY21" s="57"/>
      <c r="BZ21" s="57"/>
      <c r="CA21" s="57"/>
      <c r="CB21" s="57"/>
      <c r="CC21" s="57"/>
      <c r="CD21" s="57"/>
      <c r="CE21" s="101"/>
      <c r="CF21" s="57"/>
      <c r="CG21" s="57"/>
      <c r="CH21" s="57"/>
      <c r="CI21" s="57"/>
      <c r="CJ21" s="101"/>
      <c r="CK21" s="57"/>
      <c r="CL21" s="57"/>
      <c r="CM21" s="57"/>
      <c r="CN21" s="57"/>
      <c r="CO21" s="57"/>
      <c r="CP21" s="57"/>
      <c r="CQ21" s="57"/>
      <c r="CR21" s="57"/>
      <c r="CS21" s="101"/>
      <c r="CT21" s="101"/>
      <c r="CU21" s="57"/>
      <c r="CV21" s="101"/>
      <c r="CW21" s="57"/>
      <c r="CX21" s="102"/>
      <c r="CY21" s="101"/>
      <c r="CZ21" s="101"/>
      <c r="DA21" s="57"/>
      <c r="DB21" s="57"/>
      <c r="DC21" s="57"/>
      <c r="DD21" s="57"/>
      <c r="DE21" s="103"/>
      <c r="DF21" s="57"/>
      <c r="DG21" s="57"/>
      <c r="DH21" s="101"/>
      <c r="DI21" s="101"/>
      <c r="DJ21" s="57"/>
      <c r="DK21" s="57"/>
      <c r="DL21" s="57"/>
      <c r="DM21" s="57"/>
      <c r="DN21" s="102"/>
      <c r="DO21" s="57"/>
      <c r="DP21" s="320"/>
      <c r="DQ21" s="14"/>
      <c r="DR21" s="8"/>
      <c r="DS21" s="8"/>
      <c r="DT21" s="8"/>
      <c r="DU21" s="8"/>
      <c r="DV21" s="8"/>
      <c r="DW21" s="8"/>
      <c r="DX21" s="8"/>
      <c r="DY21" s="8"/>
      <c r="DZ21" s="8"/>
      <c r="EA21" s="8"/>
      <c r="EB21" s="8"/>
    </row>
    <row r="22" spans="2:132" x14ac:dyDescent="0.35">
      <c r="B22" s="126"/>
      <c r="C22" s="282"/>
      <c r="D22" s="9"/>
      <c r="E22" s="122" t="s">
        <v>139</v>
      </c>
      <c r="F22" s="90"/>
      <c r="G22" s="314"/>
      <c r="H22" s="528"/>
      <c r="I22" s="69"/>
      <c r="J22" s="69"/>
      <c r="K22" s="17"/>
      <c r="L22" s="69"/>
      <c r="M22" s="17"/>
      <c r="N22" s="17"/>
      <c r="O22" s="17"/>
      <c r="P22" s="69"/>
      <c r="Q22" s="138"/>
      <c r="R22" s="17"/>
      <c r="S22" s="17"/>
      <c r="T22" s="17"/>
      <c r="U22" s="17"/>
      <c r="V22" s="69"/>
      <c r="W22" s="17"/>
      <c r="X22" s="69"/>
      <c r="Y22" s="17"/>
      <c r="Z22" s="17"/>
      <c r="AA22" s="17"/>
      <c r="AB22" s="17"/>
      <c r="AC22" s="77"/>
      <c r="AD22" s="151"/>
      <c r="AE22" s="69"/>
      <c r="AF22" s="23"/>
      <c r="AG22" s="111"/>
      <c r="AH22" s="17"/>
      <c r="AI22" s="17"/>
      <c r="AJ22" s="17"/>
      <c r="AK22" s="69"/>
      <c r="AL22" s="17"/>
      <c r="AM22" s="17"/>
      <c r="AN22" s="17"/>
      <c r="AO22" s="17"/>
      <c r="AP22" s="69"/>
      <c r="AQ22" s="69"/>
      <c r="AR22" s="17"/>
      <c r="AS22" s="17"/>
      <c r="AT22" s="17"/>
      <c r="AU22" s="17"/>
      <c r="AV22" s="17"/>
      <c r="AW22" s="17"/>
      <c r="AX22" s="17"/>
      <c r="AY22" s="17"/>
      <c r="AZ22" s="69"/>
      <c r="BA22" s="17"/>
      <c r="BB22" s="17"/>
      <c r="BC22" s="69"/>
      <c r="BD22" s="69"/>
      <c r="BE22" s="17"/>
      <c r="BF22" s="17"/>
      <c r="BG22" s="17"/>
      <c r="BH22" s="17"/>
      <c r="BI22" s="17"/>
      <c r="BJ22" s="17"/>
      <c r="BK22" s="69"/>
      <c r="BL22" s="69"/>
      <c r="BM22" s="17"/>
      <c r="BN22" s="17"/>
      <c r="BO22" s="17"/>
      <c r="BP22" s="17"/>
      <c r="BQ22" s="17"/>
      <c r="BR22" s="17"/>
      <c r="BS22" s="17"/>
      <c r="BT22" s="17"/>
      <c r="BU22" s="17"/>
      <c r="BV22" s="17"/>
      <c r="BW22" s="17"/>
      <c r="BX22" s="17"/>
      <c r="BY22" s="17"/>
      <c r="BZ22" s="17"/>
      <c r="CA22" s="17"/>
      <c r="CB22" s="17"/>
      <c r="CC22" s="17"/>
      <c r="CD22" s="17"/>
      <c r="CE22" s="69"/>
      <c r="CF22" s="17"/>
      <c r="CG22" s="17"/>
      <c r="CH22" s="17"/>
      <c r="CI22" s="17"/>
      <c r="CJ22" s="69"/>
      <c r="CK22" s="17"/>
      <c r="CL22" s="17"/>
      <c r="CM22" s="17"/>
      <c r="CN22" s="17"/>
      <c r="CO22" s="17"/>
      <c r="CP22" s="17"/>
      <c r="CQ22" s="17"/>
      <c r="CR22" s="17"/>
      <c r="CS22" s="69"/>
      <c r="CT22" s="69"/>
      <c r="CU22" s="17"/>
      <c r="CV22" s="69"/>
      <c r="CW22" s="17"/>
      <c r="CX22" s="23"/>
      <c r="CY22" s="69"/>
      <c r="CZ22" s="69"/>
      <c r="DA22" s="17"/>
      <c r="DB22" s="17"/>
      <c r="DC22" s="17"/>
      <c r="DD22" s="17"/>
      <c r="DE22" s="60"/>
      <c r="DF22" s="17"/>
      <c r="DG22" s="17"/>
      <c r="DH22" s="69"/>
      <c r="DI22" s="69"/>
      <c r="DJ22" s="17"/>
      <c r="DK22" s="17"/>
      <c r="DL22" s="17"/>
      <c r="DM22" s="17"/>
      <c r="DN22" s="23"/>
      <c r="DO22" s="17"/>
      <c r="DP22" s="52"/>
      <c r="DQ22" s="14"/>
      <c r="DR22" s="8"/>
      <c r="DS22" s="8"/>
      <c r="DT22" s="8"/>
      <c r="DU22" s="8"/>
      <c r="DV22" s="8"/>
      <c r="DW22" s="8"/>
      <c r="DX22" s="8"/>
      <c r="DY22" s="8"/>
      <c r="DZ22" s="8"/>
      <c r="EA22" s="8"/>
      <c r="EB22" s="8"/>
    </row>
    <row r="23" spans="2:132" ht="16.5" x14ac:dyDescent="0.35">
      <c r="B23" s="126"/>
      <c r="C23" s="282"/>
      <c r="D23" s="9">
        <v>20201001</v>
      </c>
      <c r="E23" s="108" t="s">
        <v>103</v>
      </c>
      <c r="F23" s="54" t="s">
        <v>360</v>
      </c>
      <c r="G23" s="314" t="s">
        <v>145</v>
      </c>
      <c r="H23" s="548" t="s">
        <v>456</v>
      </c>
      <c r="I23" s="69" t="s">
        <v>78</v>
      </c>
      <c r="J23" s="69" t="s">
        <v>78</v>
      </c>
      <c r="K23" s="17" t="s">
        <v>78</v>
      </c>
      <c r="L23" s="69" t="s">
        <v>78</v>
      </c>
      <c r="M23" s="17" t="s">
        <v>78</v>
      </c>
      <c r="N23" s="17" t="s">
        <v>78</v>
      </c>
      <c r="O23" s="17" t="s">
        <v>78</v>
      </c>
      <c r="P23" s="69" t="s">
        <v>78</v>
      </c>
      <c r="Q23" s="138" t="s">
        <v>78</v>
      </c>
      <c r="R23" s="17" t="s">
        <v>78</v>
      </c>
      <c r="S23" s="17" t="s">
        <v>78</v>
      </c>
      <c r="T23" s="17" t="s">
        <v>78</v>
      </c>
      <c r="U23" s="17" t="s">
        <v>78</v>
      </c>
      <c r="V23" s="69" t="s">
        <v>78</v>
      </c>
      <c r="W23" s="17" t="s">
        <v>78</v>
      </c>
      <c r="X23" s="69" t="s">
        <v>78</v>
      </c>
      <c r="Y23" s="17" t="s">
        <v>78</v>
      </c>
      <c r="Z23" s="17" t="s">
        <v>78</v>
      </c>
      <c r="AA23" s="17" t="s">
        <v>78</v>
      </c>
      <c r="AB23" s="17" t="s">
        <v>78</v>
      </c>
      <c r="AC23" s="77" t="s">
        <v>78</v>
      </c>
      <c r="AD23" s="327">
        <v>1.2E-4</v>
      </c>
      <c r="AE23" s="115">
        <v>2.8699999999999998E-4</v>
      </c>
      <c r="AF23" s="17">
        <v>0.70199999999999996</v>
      </c>
      <c r="AG23" s="111" t="s">
        <v>78</v>
      </c>
      <c r="AH23" s="17">
        <v>0.70399999999999996</v>
      </c>
      <c r="AI23" s="17" t="s">
        <v>78</v>
      </c>
      <c r="AJ23" s="93">
        <v>0.3</v>
      </c>
      <c r="AK23" s="135">
        <v>6.4999999999999994E-5</v>
      </c>
      <c r="AL23" s="95">
        <v>3.04E-5</v>
      </c>
      <c r="AM23" s="23">
        <v>0.17757000000000001</v>
      </c>
      <c r="AN23" s="95">
        <v>5.1399999999999997E-7</v>
      </c>
      <c r="AO23" s="238">
        <v>7.7000000000000004E-7</v>
      </c>
      <c r="AP23" s="135">
        <v>2.12E-6</v>
      </c>
      <c r="AQ23" s="135">
        <v>2.2400000000000002E-6</v>
      </c>
      <c r="AR23" s="95">
        <v>3.8599999999999999E-7</v>
      </c>
      <c r="AS23" s="17">
        <v>7.4200000000000002E-2</v>
      </c>
      <c r="AT23" s="17" t="s">
        <v>78</v>
      </c>
      <c r="AU23" s="23">
        <v>5.4900000000000001E-3</v>
      </c>
      <c r="AV23" s="17" t="s">
        <v>78</v>
      </c>
      <c r="AW23" s="17" t="s">
        <v>78</v>
      </c>
      <c r="AX23" s="17">
        <v>4.2599999999999999E-3</v>
      </c>
      <c r="AY23" s="95">
        <v>6.0800000000000001E-5</v>
      </c>
      <c r="AZ23" s="69" t="s">
        <v>78</v>
      </c>
      <c r="BA23" s="17" t="s">
        <v>78</v>
      </c>
      <c r="BB23" s="17" t="s">
        <v>78</v>
      </c>
      <c r="BC23" s="69">
        <v>4.0400000000000002E-3</v>
      </c>
      <c r="BD23" s="69">
        <v>3.96E-3</v>
      </c>
      <c r="BE23" s="17" t="s">
        <v>78</v>
      </c>
      <c r="BF23" s="17" t="s">
        <v>78</v>
      </c>
      <c r="BG23" s="17">
        <v>9.7699999999999992E-3</v>
      </c>
      <c r="BH23" s="17" t="s">
        <v>78</v>
      </c>
      <c r="BI23" s="17">
        <v>6.6400000000000001E-3</v>
      </c>
      <c r="BJ23" s="17">
        <v>3.82E-3</v>
      </c>
      <c r="BK23" s="135">
        <v>3.2700000000000002E-5</v>
      </c>
      <c r="BL23" s="115">
        <v>1.5300000000000001E-4</v>
      </c>
      <c r="BM23" s="93">
        <v>5</v>
      </c>
      <c r="BN23" s="17" t="s">
        <v>78</v>
      </c>
      <c r="BO23" s="17" t="s">
        <v>78</v>
      </c>
      <c r="BP23" s="17" t="s">
        <v>78</v>
      </c>
      <c r="BQ23" s="17" t="s">
        <v>78</v>
      </c>
      <c r="BR23" s="17" t="s">
        <v>78</v>
      </c>
      <c r="BS23" s="17" t="s">
        <v>78</v>
      </c>
      <c r="BT23" s="17" t="s">
        <v>78</v>
      </c>
      <c r="BU23" s="17" t="s">
        <v>78</v>
      </c>
      <c r="BV23" s="17" t="s">
        <v>78</v>
      </c>
      <c r="BW23" s="17" t="s">
        <v>78</v>
      </c>
      <c r="BX23" s="17">
        <v>4.0300000000000002E-2</v>
      </c>
      <c r="BY23" s="17" t="s">
        <v>78</v>
      </c>
      <c r="BZ23" s="17" t="s">
        <v>78</v>
      </c>
      <c r="CA23" s="17" t="s">
        <v>78</v>
      </c>
      <c r="CB23" s="95">
        <v>8.9899999999999999E-7</v>
      </c>
      <c r="CC23" s="17">
        <v>0.224</v>
      </c>
      <c r="CD23" s="17" t="s">
        <v>78</v>
      </c>
      <c r="CE23" s="69" t="s">
        <v>78</v>
      </c>
      <c r="CF23" s="17" t="s">
        <v>78</v>
      </c>
      <c r="CG23" s="17" t="s">
        <v>78</v>
      </c>
      <c r="CH23" s="17" t="s">
        <v>78</v>
      </c>
      <c r="CI23" s="60">
        <v>1.3299999999999999E-2</v>
      </c>
      <c r="CJ23" s="111">
        <v>1.9400000000000001E-3</v>
      </c>
      <c r="CK23" s="17">
        <v>8.7200000000000003E-3</v>
      </c>
      <c r="CL23" s="17" t="s">
        <v>78</v>
      </c>
      <c r="CM23" s="17" t="s">
        <v>78</v>
      </c>
      <c r="CN23" s="17" t="s">
        <v>78</v>
      </c>
      <c r="CO23" s="17" t="s">
        <v>78</v>
      </c>
      <c r="CP23" s="17" t="s">
        <v>78</v>
      </c>
      <c r="CQ23" s="17" t="s">
        <v>78</v>
      </c>
      <c r="CR23" s="17" t="s">
        <v>78</v>
      </c>
      <c r="CS23" s="237">
        <v>4.4999999999999998E-7</v>
      </c>
      <c r="CT23" s="69">
        <v>3.19E-4</v>
      </c>
      <c r="CU23" s="17" t="s">
        <v>78</v>
      </c>
      <c r="CV23" s="69" t="s">
        <v>78</v>
      </c>
      <c r="CW23" s="17" t="s">
        <v>78</v>
      </c>
      <c r="CX23" s="17" t="s">
        <v>78</v>
      </c>
      <c r="CY23" s="135">
        <v>5.2899999999999998E-5</v>
      </c>
      <c r="CZ23" s="69" t="s">
        <v>78</v>
      </c>
      <c r="DA23" s="17">
        <v>4.96E-3</v>
      </c>
      <c r="DB23" s="17" t="s">
        <v>78</v>
      </c>
      <c r="DC23" s="17" t="s">
        <v>78</v>
      </c>
      <c r="DD23" s="92">
        <v>6.0000000000000001E-3</v>
      </c>
      <c r="DE23" s="17">
        <v>8.72E-2</v>
      </c>
      <c r="DF23" s="17" t="s">
        <v>78</v>
      </c>
      <c r="DG23" s="17">
        <v>4.7699999999999999E-3</v>
      </c>
      <c r="DH23" s="201">
        <v>0.01</v>
      </c>
      <c r="DI23" s="69" t="s">
        <v>78</v>
      </c>
      <c r="DJ23" s="17" t="s">
        <v>78</v>
      </c>
      <c r="DK23" s="17" t="s">
        <v>78</v>
      </c>
      <c r="DL23" s="17">
        <v>2.2399999999999998E-3</v>
      </c>
      <c r="DM23" s="17" t="s">
        <v>78</v>
      </c>
      <c r="DN23" s="17">
        <v>2.4299999999999999E-2</v>
      </c>
      <c r="DO23" s="17" t="s">
        <v>78</v>
      </c>
      <c r="DP23" s="52" t="s">
        <v>78</v>
      </c>
      <c r="DQ23" s="14"/>
      <c r="DR23" s="8"/>
      <c r="DS23" s="8"/>
      <c r="DT23" s="8"/>
      <c r="DU23" s="8"/>
      <c r="DV23" s="8"/>
      <c r="DW23" s="8"/>
      <c r="DX23" s="8"/>
      <c r="DY23" s="8"/>
      <c r="DZ23" s="8"/>
      <c r="EA23" s="8"/>
      <c r="EB23" s="8"/>
    </row>
    <row r="24" spans="2:132" ht="16.5" x14ac:dyDescent="0.35">
      <c r="B24" s="126"/>
      <c r="C24" s="282"/>
      <c r="D24" s="9">
        <v>20201001</v>
      </c>
      <c r="E24" s="108" t="s">
        <v>104</v>
      </c>
      <c r="F24" s="54" t="s">
        <v>360</v>
      </c>
      <c r="G24" s="314" t="s">
        <v>145</v>
      </c>
      <c r="H24" s="548" t="s">
        <v>456</v>
      </c>
      <c r="I24" s="69" t="s">
        <v>78</v>
      </c>
      <c r="J24" s="69" t="s">
        <v>78</v>
      </c>
      <c r="K24" s="17" t="s">
        <v>78</v>
      </c>
      <c r="L24" s="69" t="s">
        <v>78</v>
      </c>
      <c r="M24" s="17" t="s">
        <v>78</v>
      </c>
      <c r="N24" s="17" t="s">
        <v>78</v>
      </c>
      <c r="O24" s="17" t="s">
        <v>78</v>
      </c>
      <c r="P24" s="69" t="s">
        <v>78</v>
      </c>
      <c r="Q24" s="138" t="s">
        <v>78</v>
      </c>
      <c r="R24" s="17" t="s">
        <v>78</v>
      </c>
      <c r="S24" s="17" t="s">
        <v>78</v>
      </c>
      <c r="T24" s="17" t="s">
        <v>78</v>
      </c>
      <c r="U24" s="17" t="s">
        <v>78</v>
      </c>
      <c r="V24" s="69" t="s">
        <v>78</v>
      </c>
      <c r="W24" s="17" t="s">
        <v>78</v>
      </c>
      <c r="X24" s="69" t="s">
        <v>78</v>
      </c>
      <c r="Y24" s="17" t="s">
        <v>78</v>
      </c>
      <c r="Z24" s="17" t="s">
        <v>78</v>
      </c>
      <c r="AA24" s="17" t="s">
        <v>78</v>
      </c>
      <c r="AB24" s="17" t="s">
        <v>78</v>
      </c>
      <c r="AC24" s="77" t="s">
        <v>78</v>
      </c>
      <c r="AD24" s="327">
        <v>1.13E-4</v>
      </c>
      <c r="AE24" s="98">
        <v>5.0000000000000001E-4</v>
      </c>
      <c r="AF24" s="17">
        <v>0.75700000000000001</v>
      </c>
      <c r="AG24" s="111" t="s">
        <v>78</v>
      </c>
      <c r="AH24" s="17">
        <v>0.46500000000000002</v>
      </c>
      <c r="AI24" s="17" t="s">
        <v>78</v>
      </c>
      <c r="AJ24" s="93">
        <v>0.3</v>
      </c>
      <c r="AK24" s="135" t="s">
        <v>78</v>
      </c>
      <c r="AL24" s="95" t="s">
        <v>78</v>
      </c>
      <c r="AM24" s="60">
        <v>3.9800000000000002E-2</v>
      </c>
      <c r="AN24" s="95" t="s">
        <v>78</v>
      </c>
      <c r="AO24" s="238">
        <v>1.5E-5</v>
      </c>
      <c r="AP24" s="135">
        <v>3.7599999999999999E-5</v>
      </c>
      <c r="AQ24" s="135">
        <v>3.7499999999999997E-5</v>
      </c>
      <c r="AR24" s="95" t="s">
        <v>78</v>
      </c>
      <c r="AS24" s="17">
        <v>2.4199999999999999E-2</v>
      </c>
      <c r="AT24" s="17" t="s">
        <v>78</v>
      </c>
      <c r="AU24" s="23">
        <v>3.32E-3</v>
      </c>
      <c r="AV24" s="17" t="s">
        <v>78</v>
      </c>
      <c r="AW24" s="17" t="s">
        <v>78</v>
      </c>
      <c r="AX24" s="17">
        <v>2.5799999999999998E-3</v>
      </c>
      <c r="AY24" s="95">
        <v>6.2700000000000006E-5</v>
      </c>
      <c r="AZ24" s="69" t="s">
        <v>78</v>
      </c>
      <c r="BA24" s="17" t="s">
        <v>78</v>
      </c>
      <c r="BB24" s="17" t="s">
        <v>78</v>
      </c>
      <c r="BC24" s="69">
        <v>2.4299999999999999E-3</v>
      </c>
      <c r="BD24" s="69">
        <v>2.3900000000000002E-3</v>
      </c>
      <c r="BE24" s="17" t="s">
        <v>78</v>
      </c>
      <c r="BF24" s="17" t="s">
        <v>78</v>
      </c>
      <c r="BG24" s="17">
        <v>3.5899999999999999E-3</v>
      </c>
      <c r="BH24" s="17" t="s">
        <v>78</v>
      </c>
      <c r="BI24" s="17">
        <v>4.0099999999999997E-3</v>
      </c>
      <c r="BJ24" s="17">
        <v>2.14E-3</v>
      </c>
      <c r="BK24" s="69">
        <v>1E-4</v>
      </c>
      <c r="BL24" s="115">
        <v>5.13E-4</v>
      </c>
      <c r="BM24" s="93">
        <v>4.78</v>
      </c>
      <c r="BN24" s="17" t="s">
        <v>78</v>
      </c>
      <c r="BO24" s="17" t="s">
        <v>78</v>
      </c>
      <c r="BP24" s="17" t="s">
        <v>78</v>
      </c>
      <c r="BQ24" s="17" t="s">
        <v>78</v>
      </c>
      <c r="BR24" s="17" t="s">
        <v>78</v>
      </c>
      <c r="BS24" s="17" t="s">
        <v>78</v>
      </c>
      <c r="BT24" s="17" t="s">
        <v>78</v>
      </c>
      <c r="BU24" s="17" t="s">
        <v>78</v>
      </c>
      <c r="BV24" s="17" t="s">
        <v>78</v>
      </c>
      <c r="BW24" s="17" t="s">
        <v>78</v>
      </c>
      <c r="BX24" s="93">
        <v>0.1</v>
      </c>
      <c r="BY24" s="17" t="s">
        <v>78</v>
      </c>
      <c r="BZ24" s="17" t="s">
        <v>78</v>
      </c>
      <c r="CA24" s="17" t="s">
        <v>78</v>
      </c>
      <c r="CB24" s="95" t="s">
        <v>78</v>
      </c>
      <c r="CC24" s="17">
        <v>0.22600000000000001</v>
      </c>
      <c r="CD24" s="17" t="s">
        <v>78</v>
      </c>
      <c r="CE24" s="69" t="s">
        <v>78</v>
      </c>
      <c r="CF24" s="17" t="s">
        <v>78</v>
      </c>
      <c r="CG24" s="17" t="s">
        <v>78</v>
      </c>
      <c r="CH24" s="17" t="s">
        <v>78</v>
      </c>
      <c r="CI24" s="17">
        <v>1.81E-3</v>
      </c>
      <c r="CJ24" s="200">
        <v>3.0000000000000001E-3</v>
      </c>
      <c r="CK24" s="17">
        <v>6.7299999999999999E-3</v>
      </c>
      <c r="CL24" s="17" t="s">
        <v>78</v>
      </c>
      <c r="CM24" s="17" t="s">
        <v>78</v>
      </c>
      <c r="CN24" s="17" t="s">
        <v>78</v>
      </c>
      <c r="CO24" s="17" t="s">
        <v>78</v>
      </c>
      <c r="CP24" s="17" t="s">
        <v>78</v>
      </c>
      <c r="CQ24" s="17" t="s">
        <v>78</v>
      </c>
      <c r="CR24" s="17" t="s">
        <v>78</v>
      </c>
      <c r="CS24" s="237" t="s">
        <v>78</v>
      </c>
      <c r="CT24" s="69">
        <v>9.41E-4</v>
      </c>
      <c r="CU24" s="17" t="s">
        <v>78</v>
      </c>
      <c r="CV24" s="69" t="s">
        <v>78</v>
      </c>
      <c r="CW24" s="17" t="s">
        <v>78</v>
      </c>
      <c r="CX24" s="17" t="s">
        <v>78</v>
      </c>
      <c r="CY24" s="69">
        <v>1.2300000000000001E-4</v>
      </c>
      <c r="CZ24" s="69" t="s">
        <v>78</v>
      </c>
      <c r="DA24" s="17">
        <v>2.14E-3</v>
      </c>
      <c r="DB24" s="17" t="s">
        <v>78</v>
      </c>
      <c r="DC24" s="17" t="s">
        <v>78</v>
      </c>
      <c r="DD24" s="23">
        <v>3.62E-3</v>
      </c>
      <c r="DE24" s="17">
        <v>3.6900000000000002E-2</v>
      </c>
      <c r="DF24" s="17" t="s">
        <v>78</v>
      </c>
      <c r="DG24" s="17">
        <v>2.8800000000000002E-3</v>
      </c>
      <c r="DH24" s="111">
        <v>1.2899999999999999E-3</v>
      </c>
      <c r="DI24" s="69" t="s">
        <v>78</v>
      </c>
      <c r="DJ24" s="17" t="s">
        <v>78</v>
      </c>
      <c r="DK24" s="17" t="s">
        <v>78</v>
      </c>
      <c r="DL24" s="17">
        <v>1.3500000000000001E-3</v>
      </c>
      <c r="DM24" s="17" t="s">
        <v>78</v>
      </c>
      <c r="DN24" s="17">
        <v>1.67E-2</v>
      </c>
      <c r="DO24" s="17" t="s">
        <v>78</v>
      </c>
      <c r="DP24" s="52" t="s">
        <v>78</v>
      </c>
      <c r="DQ24" s="14"/>
      <c r="DR24" s="8"/>
      <c r="DS24" s="8"/>
      <c r="DT24" s="8"/>
      <c r="DU24" s="8"/>
      <c r="DV24" s="8"/>
      <c r="DW24" s="8"/>
      <c r="DX24" s="8"/>
      <c r="DY24" s="8"/>
      <c r="DZ24" s="8"/>
      <c r="EA24" s="8"/>
      <c r="EB24" s="8"/>
    </row>
    <row r="25" spans="2:132" ht="16.5" x14ac:dyDescent="0.35">
      <c r="B25" s="126"/>
      <c r="C25" s="282"/>
      <c r="D25" s="9">
        <v>20201001</v>
      </c>
      <c r="E25" s="108" t="s">
        <v>368</v>
      </c>
      <c r="F25" s="54" t="s">
        <v>310</v>
      </c>
      <c r="G25" s="314" t="s">
        <v>145</v>
      </c>
      <c r="H25" s="548" t="s">
        <v>456</v>
      </c>
      <c r="I25" s="69" t="s">
        <v>78</v>
      </c>
      <c r="J25" s="69" t="s">
        <v>78</v>
      </c>
      <c r="K25" s="17" t="s">
        <v>78</v>
      </c>
      <c r="L25" s="69" t="s">
        <v>78</v>
      </c>
      <c r="M25" s="17" t="s">
        <v>78</v>
      </c>
      <c r="N25" s="17" t="s">
        <v>78</v>
      </c>
      <c r="O25" s="17" t="s">
        <v>78</v>
      </c>
      <c r="P25" s="69" t="s">
        <v>78</v>
      </c>
      <c r="Q25" s="138" t="s">
        <v>78</v>
      </c>
      <c r="R25" s="17" t="s">
        <v>78</v>
      </c>
      <c r="S25" s="17" t="s">
        <v>78</v>
      </c>
      <c r="T25" s="17" t="s">
        <v>78</v>
      </c>
      <c r="U25" s="17" t="s">
        <v>78</v>
      </c>
      <c r="V25" s="69" t="s">
        <v>78</v>
      </c>
      <c r="W25" s="17" t="s">
        <v>78</v>
      </c>
      <c r="X25" s="69" t="s">
        <v>78</v>
      </c>
      <c r="Y25" s="17" t="s">
        <v>78</v>
      </c>
      <c r="Z25" s="17" t="s">
        <v>78</v>
      </c>
      <c r="AA25" s="17" t="s">
        <v>78</v>
      </c>
      <c r="AB25" s="17" t="s">
        <v>78</v>
      </c>
      <c r="AC25" s="77" t="s">
        <v>78</v>
      </c>
      <c r="AD25" s="151" t="s">
        <v>78</v>
      </c>
      <c r="AE25" s="69" t="s">
        <v>78</v>
      </c>
      <c r="AF25" s="17">
        <v>0.252</v>
      </c>
      <c r="AG25" s="111" t="s">
        <v>78</v>
      </c>
      <c r="AH25" s="17">
        <v>0.23799999999999999</v>
      </c>
      <c r="AI25" s="17" t="s">
        <v>78</v>
      </c>
      <c r="AJ25" s="93">
        <v>0.3</v>
      </c>
      <c r="AK25" s="135" t="s">
        <v>78</v>
      </c>
      <c r="AL25" s="95" t="s">
        <v>78</v>
      </c>
      <c r="AM25" s="92">
        <v>0.14299999999999999</v>
      </c>
      <c r="AN25" s="95" t="s">
        <v>78</v>
      </c>
      <c r="AO25" s="238" t="s">
        <v>78</v>
      </c>
      <c r="AP25" s="135" t="s">
        <v>78</v>
      </c>
      <c r="AQ25" s="135" t="s">
        <v>78</v>
      </c>
      <c r="AR25" s="95" t="s">
        <v>78</v>
      </c>
      <c r="AS25" s="93">
        <v>0.06</v>
      </c>
      <c r="AT25" s="17" t="s">
        <v>78</v>
      </c>
      <c r="AU25" s="60">
        <v>1.6000000000000001E-3</v>
      </c>
      <c r="AV25" s="17" t="s">
        <v>78</v>
      </c>
      <c r="AW25" s="17" t="s">
        <v>78</v>
      </c>
      <c r="AX25" s="17">
        <v>1.24E-3</v>
      </c>
      <c r="AY25" s="95" t="s">
        <v>78</v>
      </c>
      <c r="AZ25" s="69" t="s">
        <v>78</v>
      </c>
      <c r="BA25" s="17" t="s">
        <v>78</v>
      </c>
      <c r="BB25" s="17" t="s">
        <v>78</v>
      </c>
      <c r="BC25" s="69">
        <v>1.1800000000000001E-3</v>
      </c>
      <c r="BD25" s="69">
        <v>1.15E-3</v>
      </c>
      <c r="BE25" s="17" t="s">
        <v>78</v>
      </c>
      <c r="BF25" s="17" t="s">
        <v>78</v>
      </c>
      <c r="BG25" s="17">
        <v>2.2399999999999998E-3</v>
      </c>
      <c r="BH25" s="17" t="s">
        <v>78</v>
      </c>
      <c r="BI25" s="17">
        <v>1.9300000000000001E-3</v>
      </c>
      <c r="BJ25" s="17">
        <v>1.0200000000000001E-3</v>
      </c>
      <c r="BK25" s="69" t="s">
        <v>78</v>
      </c>
      <c r="BL25" s="69" t="s">
        <v>78</v>
      </c>
      <c r="BM25" s="93">
        <v>1.86</v>
      </c>
      <c r="BN25" s="17" t="s">
        <v>78</v>
      </c>
      <c r="BO25" s="17" t="s">
        <v>78</v>
      </c>
      <c r="BP25" s="17" t="s">
        <v>78</v>
      </c>
      <c r="BQ25" s="17" t="s">
        <v>78</v>
      </c>
      <c r="BR25" s="17" t="s">
        <v>78</v>
      </c>
      <c r="BS25" s="17" t="s">
        <v>78</v>
      </c>
      <c r="BT25" s="17" t="s">
        <v>78</v>
      </c>
      <c r="BU25" s="17" t="s">
        <v>78</v>
      </c>
      <c r="BV25" s="17" t="s">
        <v>78</v>
      </c>
      <c r="BW25" s="17" t="s">
        <v>78</v>
      </c>
      <c r="BX25" s="17" t="s">
        <v>78</v>
      </c>
      <c r="BY25" s="17" t="s">
        <v>78</v>
      </c>
      <c r="BZ25" s="17" t="s">
        <v>78</v>
      </c>
      <c r="CA25" s="17" t="s">
        <v>78</v>
      </c>
      <c r="CB25" s="95" t="s">
        <v>78</v>
      </c>
      <c r="CC25" s="17">
        <v>0.27700000000000002</v>
      </c>
      <c r="CD25" s="17" t="s">
        <v>78</v>
      </c>
      <c r="CE25" s="69" t="s">
        <v>78</v>
      </c>
      <c r="CF25" s="17" t="s">
        <v>78</v>
      </c>
      <c r="CG25" s="17" t="s">
        <v>78</v>
      </c>
      <c r="CH25" s="17" t="s">
        <v>78</v>
      </c>
      <c r="CI25" s="17">
        <v>3.7299999999999998E-3</v>
      </c>
      <c r="CJ25" s="69" t="s">
        <v>78</v>
      </c>
      <c r="CK25" s="17">
        <v>8.7899999999999992E-3</v>
      </c>
      <c r="CL25" s="17" t="s">
        <v>78</v>
      </c>
      <c r="CM25" s="17" t="s">
        <v>78</v>
      </c>
      <c r="CN25" s="60">
        <f>CN32*(1/1020)*(1/10^6)*(91500)*1000</f>
        <v>1.29015E-2</v>
      </c>
      <c r="CO25" s="17" t="s">
        <v>78</v>
      </c>
      <c r="CP25" s="17" t="s">
        <v>78</v>
      </c>
      <c r="CQ25" s="17" t="s">
        <v>78</v>
      </c>
      <c r="CR25" s="17" t="s">
        <v>78</v>
      </c>
      <c r="CS25" s="237" t="s">
        <v>78</v>
      </c>
      <c r="CT25" s="69" t="s">
        <v>78</v>
      </c>
      <c r="CU25" s="17" t="s">
        <v>78</v>
      </c>
      <c r="CV25" s="69" t="s">
        <v>78</v>
      </c>
      <c r="CW25" s="17" t="s">
        <v>78</v>
      </c>
      <c r="CX25" s="17" t="s">
        <v>78</v>
      </c>
      <c r="CY25" s="69" t="s">
        <v>78</v>
      </c>
      <c r="CZ25" s="69" t="s">
        <v>78</v>
      </c>
      <c r="DA25" s="17">
        <v>1.08E-3</v>
      </c>
      <c r="DB25" s="17" t="s">
        <v>78</v>
      </c>
      <c r="DC25" s="17" t="s">
        <v>78</v>
      </c>
      <c r="DD25" s="23">
        <v>2.2899999999999999E-3</v>
      </c>
      <c r="DE25" s="17">
        <v>5.0500000000000003E-2</v>
      </c>
      <c r="DF25" s="17" t="s">
        <v>78</v>
      </c>
      <c r="DG25" s="17">
        <v>1.3799999999999999E-3</v>
      </c>
      <c r="DH25" s="69" t="s">
        <v>78</v>
      </c>
      <c r="DI25" s="69" t="s">
        <v>78</v>
      </c>
      <c r="DJ25" s="17" t="s">
        <v>78</v>
      </c>
      <c r="DK25" s="17" t="s">
        <v>78</v>
      </c>
      <c r="DL25" s="17">
        <v>6.4999999999999997E-4</v>
      </c>
      <c r="DM25" s="17" t="s">
        <v>78</v>
      </c>
      <c r="DN25" s="17">
        <v>1.7600000000000001E-2</v>
      </c>
      <c r="DO25" s="17" t="s">
        <v>78</v>
      </c>
      <c r="DP25" s="52" t="s">
        <v>78</v>
      </c>
      <c r="DQ25" s="14"/>
      <c r="DR25" s="8"/>
      <c r="DS25" s="8"/>
      <c r="DT25" s="8"/>
      <c r="DU25" s="8"/>
      <c r="DV25" s="8"/>
      <c r="DW25" s="8"/>
      <c r="DX25" s="8"/>
      <c r="DY25" s="8"/>
      <c r="DZ25" s="8"/>
      <c r="EA25" s="8"/>
      <c r="EB25" s="8"/>
    </row>
    <row r="26" spans="2:132" ht="16.5" x14ac:dyDescent="0.35">
      <c r="B26" s="126"/>
      <c r="C26" s="282"/>
      <c r="D26" s="9">
        <v>20201001</v>
      </c>
      <c r="E26" s="108" t="s">
        <v>166</v>
      </c>
      <c r="F26" s="54" t="s">
        <v>177</v>
      </c>
      <c r="G26" s="314" t="s">
        <v>145</v>
      </c>
      <c r="H26" s="548" t="s">
        <v>456</v>
      </c>
      <c r="I26" s="69" t="s">
        <v>78</v>
      </c>
      <c r="J26" s="69" t="s">
        <v>78</v>
      </c>
      <c r="K26" s="17" t="s">
        <v>78</v>
      </c>
      <c r="L26" s="69" t="s">
        <v>78</v>
      </c>
      <c r="M26" s="17" t="s">
        <v>78</v>
      </c>
      <c r="N26" s="17" t="s">
        <v>78</v>
      </c>
      <c r="O26" s="17" t="s">
        <v>78</v>
      </c>
      <c r="P26" s="69" t="s">
        <v>78</v>
      </c>
      <c r="Q26" s="138" t="s">
        <v>78</v>
      </c>
      <c r="R26" s="17" t="s">
        <v>78</v>
      </c>
      <c r="S26" s="17" t="s">
        <v>78</v>
      </c>
      <c r="T26" s="17" t="s">
        <v>78</v>
      </c>
      <c r="U26" s="17" t="s">
        <v>78</v>
      </c>
      <c r="V26" s="69" t="s">
        <v>78</v>
      </c>
      <c r="W26" s="17" t="s">
        <v>78</v>
      </c>
      <c r="X26" s="69" t="s">
        <v>78</v>
      </c>
      <c r="Y26" s="17" t="s">
        <v>78</v>
      </c>
      <c r="Z26" s="17" t="s">
        <v>78</v>
      </c>
      <c r="AA26" s="17" t="s">
        <v>78</v>
      </c>
      <c r="AB26" s="17" t="s">
        <v>78</v>
      </c>
      <c r="AC26" s="77" t="s">
        <v>78</v>
      </c>
      <c r="AD26" s="327">
        <f>MAX(AD23:AD25)</f>
        <v>1.2E-4</v>
      </c>
      <c r="AE26" s="98">
        <f t="shared" ref="AE26:DN26" si="10">MAX(AE23:AE25)</f>
        <v>5.0000000000000001E-4</v>
      </c>
      <c r="AF26" s="92">
        <f t="shared" si="10"/>
        <v>0.75700000000000001</v>
      </c>
      <c r="AG26" s="111" t="s">
        <v>78</v>
      </c>
      <c r="AH26" s="92">
        <f t="shared" si="10"/>
        <v>0.70399999999999996</v>
      </c>
      <c r="AI26" s="17" t="s">
        <v>78</v>
      </c>
      <c r="AJ26" s="93">
        <f t="shared" si="10"/>
        <v>0.3</v>
      </c>
      <c r="AK26" s="135">
        <f t="shared" si="10"/>
        <v>6.4999999999999994E-5</v>
      </c>
      <c r="AL26" s="95">
        <f t="shared" si="10"/>
        <v>3.04E-5</v>
      </c>
      <c r="AM26" s="23">
        <f t="shared" si="10"/>
        <v>0.17757000000000001</v>
      </c>
      <c r="AN26" s="95">
        <f t="shared" si="10"/>
        <v>5.1399999999999997E-7</v>
      </c>
      <c r="AO26" s="238">
        <f t="shared" si="10"/>
        <v>1.5E-5</v>
      </c>
      <c r="AP26" s="135">
        <f t="shared" si="10"/>
        <v>3.7599999999999999E-5</v>
      </c>
      <c r="AQ26" s="135">
        <f t="shared" si="10"/>
        <v>3.7499999999999997E-5</v>
      </c>
      <c r="AR26" s="95">
        <f t="shared" si="10"/>
        <v>3.8599999999999999E-7</v>
      </c>
      <c r="AS26" s="60">
        <f t="shared" si="10"/>
        <v>7.4200000000000002E-2</v>
      </c>
      <c r="AT26" s="23" t="s">
        <v>78</v>
      </c>
      <c r="AU26" s="23">
        <f t="shared" si="10"/>
        <v>5.4900000000000001E-3</v>
      </c>
      <c r="AV26" s="23" t="s">
        <v>78</v>
      </c>
      <c r="AW26" s="23" t="s">
        <v>78</v>
      </c>
      <c r="AX26" s="23">
        <f t="shared" si="10"/>
        <v>4.2599999999999999E-3</v>
      </c>
      <c r="AY26" s="95">
        <f t="shared" si="10"/>
        <v>6.2700000000000006E-5</v>
      </c>
      <c r="AZ26" s="111" t="s">
        <v>78</v>
      </c>
      <c r="BA26" s="23" t="s">
        <v>78</v>
      </c>
      <c r="BB26" s="17" t="s">
        <v>78</v>
      </c>
      <c r="BC26" s="111">
        <f t="shared" si="10"/>
        <v>4.0400000000000002E-3</v>
      </c>
      <c r="BD26" s="111">
        <f t="shared" si="10"/>
        <v>3.96E-3</v>
      </c>
      <c r="BE26" s="23" t="s">
        <v>78</v>
      </c>
      <c r="BF26" s="17" t="s">
        <v>78</v>
      </c>
      <c r="BG26" s="23">
        <f t="shared" si="10"/>
        <v>9.7699999999999992E-3</v>
      </c>
      <c r="BH26" s="23" t="s">
        <v>78</v>
      </c>
      <c r="BI26" s="23">
        <f t="shared" si="10"/>
        <v>6.6400000000000001E-3</v>
      </c>
      <c r="BJ26" s="23">
        <f t="shared" ref="BJ26" si="11">MAX(BJ23:BJ25)</f>
        <v>3.82E-3</v>
      </c>
      <c r="BK26" s="98">
        <f t="shared" si="10"/>
        <v>1E-4</v>
      </c>
      <c r="BL26" s="115">
        <f t="shared" si="10"/>
        <v>5.13E-4</v>
      </c>
      <c r="BM26" s="93">
        <f t="shared" si="10"/>
        <v>5</v>
      </c>
      <c r="BN26" s="17" t="s">
        <v>78</v>
      </c>
      <c r="BO26" s="17" t="s">
        <v>78</v>
      </c>
      <c r="BP26" s="17" t="s">
        <v>78</v>
      </c>
      <c r="BQ26" s="17" t="s">
        <v>78</v>
      </c>
      <c r="BR26" s="17" t="s">
        <v>78</v>
      </c>
      <c r="BS26" s="17" t="s">
        <v>78</v>
      </c>
      <c r="BT26" s="17" t="s">
        <v>78</v>
      </c>
      <c r="BU26" s="17" t="s">
        <v>78</v>
      </c>
      <c r="BV26" s="17" t="s">
        <v>78</v>
      </c>
      <c r="BW26" s="17" t="s">
        <v>78</v>
      </c>
      <c r="BX26" s="92">
        <f t="shared" ref="BX26" si="12">MAX(BX23:BX25)</f>
        <v>0.1</v>
      </c>
      <c r="BY26" s="23" t="s">
        <v>78</v>
      </c>
      <c r="BZ26" s="17" t="s">
        <v>78</v>
      </c>
      <c r="CA26" s="17" t="s">
        <v>78</v>
      </c>
      <c r="CB26" s="95">
        <f t="shared" si="10"/>
        <v>8.9899999999999999E-7</v>
      </c>
      <c r="CC26" s="92">
        <f t="shared" si="10"/>
        <v>0.27700000000000002</v>
      </c>
      <c r="CD26" s="23" t="s">
        <v>78</v>
      </c>
      <c r="CE26" s="111" t="s">
        <v>78</v>
      </c>
      <c r="CF26" s="23" t="s">
        <v>78</v>
      </c>
      <c r="CG26" s="23" t="s">
        <v>78</v>
      </c>
      <c r="CH26" s="23" t="s">
        <v>78</v>
      </c>
      <c r="CI26" s="60">
        <f t="shared" si="10"/>
        <v>1.3299999999999999E-2</v>
      </c>
      <c r="CJ26" s="200">
        <f t="shared" si="10"/>
        <v>3.0000000000000001E-3</v>
      </c>
      <c r="CK26" s="23">
        <f t="shared" si="10"/>
        <v>8.7899999999999992E-3</v>
      </c>
      <c r="CL26" s="23">
        <f t="shared" si="10"/>
        <v>0</v>
      </c>
      <c r="CM26" s="23">
        <f t="shared" si="10"/>
        <v>0</v>
      </c>
      <c r="CN26" s="60">
        <f t="shared" si="10"/>
        <v>1.29015E-2</v>
      </c>
      <c r="CO26" s="23" t="s">
        <v>78</v>
      </c>
      <c r="CP26" s="23" t="s">
        <v>78</v>
      </c>
      <c r="CQ26" s="23" t="s">
        <v>78</v>
      </c>
      <c r="CR26" s="23" t="s">
        <v>78</v>
      </c>
      <c r="CS26" s="237">
        <f t="shared" si="10"/>
        <v>4.4999999999999998E-7</v>
      </c>
      <c r="CT26" s="115">
        <f t="shared" si="10"/>
        <v>9.41E-4</v>
      </c>
      <c r="CU26" s="17" t="s">
        <v>78</v>
      </c>
      <c r="CV26" s="115" t="s">
        <v>78</v>
      </c>
      <c r="CW26" s="23" t="s">
        <v>78</v>
      </c>
      <c r="CX26" s="23" t="s">
        <v>78</v>
      </c>
      <c r="CY26" s="115">
        <f t="shared" si="10"/>
        <v>1.2300000000000001E-4</v>
      </c>
      <c r="CZ26" s="115" t="s">
        <v>78</v>
      </c>
      <c r="DA26" s="23">
        <f t="shared" si="10"/>
        <v>4.96E-3</v>
      </c>
      <c r="DB26" s="23" t="s">
        <v>78</v>
      </c>
      <c r="DC26" s="23" t="s">
        <v>78</v>
      </c>
      <c r="DD26" s="92">
        <f t="shared" si="10"/>
        <v>6.0000000000000001E-3</v>
      </c>
      <c r="DE26" s="60">
        <f t="shared" si="10"/>
        <v>8.72E-2</v>
      </c>
      <c r="DF26" s="23" t="s">
        <v>78</v>
      </c>
      <c r="DG26" s="23">
        <f t="shared" si="10"/>
        <v>4.7699999999999999E-3</v>
      </c>
      <c r="DH26" s="201">
        <f>MAX(DH23:DH25)</f>
        <v>0.01</v>
      </c>
      <c r="DI26" s="202" t="s">
        <v>78</v>
      </c>
      <c r="DJ26" s="312" t="s">
        <v>78</v>
      </c>
      <c r="DK26" s="312" t="s">
        <v>78</v>
      </c>
      <c r="DL26" s="23">
        <f t="shared" si="10"/>
        <v>2.2399999999999998E-3</v>
      </c>
      <c r="DM26" s="23" t="s">
        <v>78</v>
      </c>
      <c r="DN26" s="60">
        <f t="shared" si="10"/>
        <v>2.4299999999999999E-2</v>
      </c>
      <c r="DO26" s="23" t="s">
        <v>78</v>
      </c>
      <c r="DP26" s="328" t="s">
        <v>78</v>
      </c>
      <c r="DQ26" s="14"/>
      <c r="DR26" s="8"/>
      <c r="DS26" s="8"/>
      <c r="DT26" s="8"/>
      <c r="DU26" s="8"/>
      <c r="DV26" s="8"/>
      <c r="DW26" s="8"/>
      <c r="DX26" s="8"/>
      <c r="DY26" s="8"/>
      <c r="DZ26" s="8"/>
      <c r="EA26" s="8"/>
      <c r="EB26" s="8"/>
    </row>
    <row r="27" spans="2:132" ht="15" thickBot="1" x14ac:dyDescent="0.4">
      <c r="B27" s="127"/>
      <c r="C27" s="283"/>
      <c r="D27" s="11"/>
      <c r="E27" s="87"/>
      <c r="F27" s="89"/>
      <c r="G27" s="56"/>
      <c r="H27" s="529"/>
      <c r="I27" s="99"/>
      <c r="J27" s="99"/>
      <c r="K27" s="53"/>
      <c r="L27" s="99"/>
      <c r="M27" s="53"/>
      <c r="N27" s="53"/>
      <c r="O27" s="53"/>
      <c r="P27" s="99"/>
      <c r="Q27" s="175"/>
      <c r="R27" s="53"/>
      <c r="S27" s="53"/>
      <c r="T27" s="53"/>
      <c r="U27" s="53"/>
      <c r="V27" s="99"/>
      <c r="W27" s="53"/>
      <c r="X27" s="99"/>
      <c r="Y27" s="53"/>
      <c r="Z27" s="53"/>
      <c r="AA27" s="53"/>
      <c r="AB27" s="53"/>
      <c r="AC27" s="109"/>
      <c r="AD27" s="177"/>
      <c r="AE27" s="99"/>
      <c r="AF27" s="104"/>
      <c r="AG27" s="199"/>
      <c r="AH27" s="53"/>
      <c r="AI27" s="53"/>
      <c r="AJ27" s="53"/>
      <c r="AK27" s="99"/>
      <c r="AL27" s="53"/>
      <c r="AM27" s="53"/>
      <c r="AN27" s="235"/>
      <c r="AO27" s="235"/>
      <c r="AP27" s="234"/>
      <c r="AQ27" s="234"/>
      <c r="AR27" s="235"/>
      <c r="AS27" s="53"/>
      <c r="AT27" s="53"/>
      <c r="AU27" s="53"/>
      <c r="AV27" s="53"/>
      <c r="AW27" s="53"/>
      <c r="AX27" s="53"/>
      <c r="AY27" s="235"/>
      <c r="AZ27" s="99"/>
      <c r="BA27" s="53"/>
      <c r="BB27" s="53"/>
      <c r="BC27" s="99"/>
      <c r="BD27" s="99"/>
      <c r="BE27" s="53"/>
      <c r="BF27" s="53"/>
      <c r="BG27" s="53"/>
      <c r="BH27" s="53"/>
      <c r="BI27" s="53"/>
      <c r="BJ27" s="53"/>
      <c r="BK27" s="99"/>
      <c r="BL27" s="99"/>
      <c r="BM27" s="53"/>
      <c r="BN27" s="53"/>
      <c r="BO27" s="53"/>
      <c r="BP27" s="53"/>
      <c r="BQ27" s="53"/>
      <c r="BR27" s="53"/>
      <c r="BS27" s="53"/>
      <c r="BT27" s="53"/>
      <c r="BU27" s="53"/>
      <c r="BV27" s="53"/>
      <c r="BW27" s="53"/>
      <c r="BX27" s="53"/>
      <c r="BY27" s="53"/>
      <c r="BZ27" s="53"/>
      <c r="CA27" s="53"/>
      <c r="CB27" s="235"/>
      <c r="CC27" s="53"/>
      <c r="CD27" s="53"/>
      <c r="CE27" s="99"/>
      <c r="CF27" s="53"/>
      <c r="CG27" s="53"/>
      <c r="CH27" s="53"/>
      <c r="CI27" s="53"/>
      <c r="CJ27" s="99"/>
      <c r="CK27" s="53"/>
      <c r="CL27" s="53"/>
      <c r="CM27" s="53"/>
      <c r="CN27" s="53"/>
      <c r="CO27" s="53"/>
      <c r="CP27" s="53"/>
      <c r="CQ27" s="53"/>
      <c r="CR27" s="53"/>
      <c r="CS27" s="234"/>
      <c r="CT27" s="99"/>
      <c r="CU27" s="53"/>
      <c r="CV27" s="99"/>
      <c r="CW27" s="53"/>
      <c r="CX27" s="104"/>
      <c r="CY27" s="99"/>
      <c r="CZ27" s="99"/>
      <c r="DA27" s="53"/>
      <c r="DB27" s="53"/>
      <c r="DC27" s="53"/>
      <c r="DD27" s="53"/>
      <c r="DE27" s="105"/>
      <c r="DF27" s="53"/>
      <c r="DG27" s="53"/>
      <c r="DH27" s="99"/>
      <c r="DI27" s="99"/>
      <c r="DJ27" s="53"/>
      <c r="DK27" s="53"/>
      <c r="DL27" s="53"/>
      <c r="DM27" s="53"/>
      <c r="DN27" s="104"/>
      <c r="DO27" s="53"/>
      <c r="DP27" s="319"/>
      <c r="DQ27" s="14"/>
      <c r="DR27" s="8"/>
      <c r="DS27" s="8"/>
      <c r="DT27" s="8"/>
      <c r="DU27" s="8"/>
      <c r="DV27" s="8"/>
      <c r="DW27" s="8"/>
      <c r="DX27" s="8"/>
      <c r="DY27" s="8"/>
      <c r="DZ27" s="8"/>
      <c r="EA27" s="8"/>
      <c r="EB27" s="8"/>
    </row>
    <row r="28" spans="2:132" x14ac:dyDescent="0.35">
      <c r="B28" s="116"/>
      <c r="C28" s="281" t="s">
        <v>173</v>
      </c>
      <c r="D28" s="9"/>
      <c r="E28" s="50"/>
      <c r="F28" s="210"/>
      <c r="G28" s="314"/>
      <c r="H28" s="528"/>
      <c r="I28" s="69"/>
      <c r="J28" s="69"/>
      <c r="K28" s="17"/>
      <c r="L28" s="69"/>
      <c r="M28" s="17"/>
      <c r="N28" s="17"/>
      <c r="O28" s="17"/>
      <c r="P28" s="69"/>
      <c r="Q28" s="138"/>
      <c r="R28" s="17"/>
      <c r="S28" s="17"/>
      <c r="T28" s="17"/>
      <c r="U28" s="17"/>
      <c r="V28" s="69"/>
      <c r="W28" s="17"/>
      <c r="X28" s="69"/>
      <c r="Y28" s="17"/>
      <c r="Z28" s="17"/>
      <c r="AA28" s="17"/>
      <c r="AB28" s="17"/>
      <c r="AC28" s="77"/>
      <c r="AD28" s="154"/>
      <c r="AE28" s="96"/>
      <c r="AF28" s="8"/>
      <c r="AG28" s="96"/>
      <c r="AH28" s="8"/>
      <c r="AI28" s="8"/>
      <c r="AJ28" s="8"/>
      <c r="AK28" s="96"/>
      <c r="AL28" s="8"/>
      <c r="AM28" s="8"/>
      <c r="AN28" s="39"/>
      <c r="AO28" s="39"/>
      <c r="AP28" s="261"/>
      <c r="AQ28" s="261"/>
      <c r="AR28" s="39"/>
      <c r="AS28" s="8"/>
      <c r="AT28" s="8"/>
      <c r="AU28" s="8"/>
      <c r="AV28" s="8"/>
      <c r="AW28" s="8"/>
      <c r="AX28" s="8"/>
      <c r="AY28" s="39"/>
      <c r="AZ28" s="96"/>
      <c r="BA28" s="8"/>
      <c r="BB28" s="8"/>
      <c r="BC28" s="96"/>
      <c r="BD28" s="96"/>
      <c r="BG28" s="8"/>
      <c r="BH28" s="8"/>
      <c r="BI28" s="8"/>
      <c r="BJ28" s="8"/>
      <c r="BK28" s="96"/>
      <c r="BL28" s="96"/>
      <c r="BM28" s="8"/>
      <c r="BN28" s="8"/>
      <c r="BO28" s="8"/>
      <c r="BP28" s="8"/>
      <c r="BQ28" s="8"/>
      <c r="BR28" s="8"/>
      <c r="BS28" s="8"/>
      <c r="BT28" s="8"/>
      <c r="BU28" s="8"/>
      <c r="BV28" s="8"/>
      <c r="BW28" s="8"/>
      <c r="BX28" s="8"/>
      <c r="BY28" s="8"/>
      <c r="BZ28" s="8"/>
      <c r="CA28" s="8"/>
      <c r="CB28" s="39"/>
      <c r="CC28" s="8"/>
      <c r="CD28" s="8"/>
      <c r="CE28" s="96"/>
      <c r="CF28" s="8"/>
      <c r="CG28" s="8"/>
      <c r="CH28" s="8"/>
      <c r="CI28" s="8"/>
      <c r="CJ28" s="96"/>
      <c r="CK28" s="8"/>
      <c r="CL28" s="8"/>
      <c r="CM28" s="8"/>
      <c r="CN28" s="8"/>
      <c r="CO28" s="8"/>
      <c r="CP28" s="8"/>
      <c r="CQ28" s="8"/>
      <c r="CR28" s="8"/>
      <c r="CS28" s="261"/>
      <c r="CT28" s="96"/>
      <c r="CV28" s="96"/>
      <c r="CW28" s="8"/>
      <c r="CX28" s="8"/>
      <c r="CY28" s="96"/>
      <c r="CZ28" s="96"/>
      <c r="DA28" s="8"/>
      <c r="DB28" s="8"/>
      <c r="DC28" s="8"/>
      <c r="DD28" s="8"/>
      <c r="DE28" s="8"/>
      <c r="DF28" s="17"/>
      <c r="DG28" s="8"/>
      <c r="DH28" s="96"/>
      <c r="DI28" s="96"/>
      <c r="DL28" s="8"/>
      <c r="DM28" s="8"/>
      <c r="DN28" s="8"/>
      <c r="DO28" s="17"/>
      <c r="DP28" s="52"/>
      <c r="DQ28" s="14"/>
      <c r="DR28" s="8"/>
      <c r="DS28" s="8"/>
      <c r="DT28" s="8"/>
      <c r="DU28" s="8"/>
      <c r="DV28" s="8"/>
      <c r="DW28" s="8"/>
      <c r="DX28" s="8"/>
      <c r="DY28" s="8"/>
      <c r="DZ28" s="8"/>
      <c r="EA28" s="8"/>
      <c r="EB28" s="8"/>
    </row>
    <row r="29" spans="2:132" x14ac:dyDescent="0.35">
      <c r="B29" s="116"/>
      <c r="C29" s="281"/>
      <c r="D29" s="9"/>
      <c r="E29" s="122" t="s">
        <v>102</v>
      </c>
      <c r="F29" s="210"/>
      <c r="G29" s="21"/>
      <c r="H29" s="527"/>
      <c r="I29" s="96"/>
      <c r="J29" s="96"/>
      <c r="K29" s="8"/>
      <c r="L29" s="96"/>
      <c r="M29" s="8"/>
      <c r="N29" s="8"/>
      <c r="O29" s="8"/>
      <c r="P29" s="96"/>
      <c r="R29" s="8"/>
      <c r="S29" s="8"/>
      <c r="U29" s="8"/>
      <c r="V29" s="96"/>
      <c r="W29" s="8"/>
      <c r="X29" s="96"/>
      <c r="Y29" s="8"/>
      <c r="Z29" s="8"/>
      <c r="AA29" s="8"/>
      <c r="AB29" s="8"/>
      <c r="AC29" s="112"/>
      <c r="AD29" s="154"/>
      <c r="AE29" s="96"/>
      <c r="AF29" s="8"/>
      <c r="AG29" s="96"/>
      <c r="AH29" s="8"/>
      <c r="AI29" s="8"/>
      <c r="AJ29" s="8"/>
      <c r="AK29" s="96"/>
      <c r="AL29" s="8"/>
      <c r="AM29" s="8"/>
      <c r="AN29" s="39"/>
      <c r="AO29" s="39"/>
      <c r="AP29" s="261"/>
      <c r="AQ29" s="261"/>
      <c r="AR29" s="39"/>
      <c r="AS29" s="8"/>
      <c r="AT29" s="8"/>
      <c r="AU29" s="8"/>
      <c r="AV29" s="8"/>
      <c r="AW29" s="8"/>
      <c r="AX29" s="8"/>
      <c r="AY29" s="39"/>
      <c r="AZ29" s="96"/>
      <c r="BA29" s="8"/>
      <c r="BB29" s="8"/>
      <c r="BC29" s="96"/>
      <c r="BD29" s="96"/>
      <c r="BG29" s="8"/>
      <c r="BH29" s="8"/>
      <c r="BI29" s="8"/>
      <c r="BJ29" s="8"/>
      <c r="BK29" s="96"/>
      <c r="BL29" s="96"/>
      <c r="BM29" s="8"/>
      <c r="BN29" s="8"/>
      <c r="BO29" s="8"/>
      <c r="BP29" s="8"/>
      <c r="BQ29" s="8"/>
      <c r="BR29" s="8"/>
      <c r="BS29" s="8"/>
      <c r="BT29" s="8"/>
      <c r="BU29" s="8"/>
      <c r="BV29" s="8"/>
      <c r="BW29" s="8"/>
      <c r="BX29" s="8"/>
      <c r="BY29" s="8"/>
      <c r="BZ29" s="8"/>
      <c r="CA29" s="8"/>
      <c r="CB29" s="39"/>
      <c r="CC29" s="8"/>
      <c r="CD29" s="8"/>
      <c r="CE29" s="96"/>
      <c r="CF29" s="8"/>
      <c r="CG29" s="8"/>
      <c r="CH29" s="8"/>
      <c r="CI29" s="8"/>
      <c r="CJ29" s="96"/>
      <c r="CK29" s="8"/>
      <c r="CL29" s="8"/>
      <c r="CM29" s="8"/>
      <c r="CN29" s="8"/>
      <c r="CO29" s="8"/>
      <c r="CP29" s="8"/>
      <c r="CQ29" s="8"/>
      <c r="CR29" s="8"/>
      <c r="CS29" s="261"/>
      <c r="CT29" s="96"/>
      <c r="CV29" s="96"/>
      <c r="CW29" s="8"/>
      <c r="CX29" s="8"/>
      <c r="CY29" s="96"/>
      <c r="CZ29" s="96"/>
      <c r="DA29" s="8"/>
      <c r="DB29" s="8"/>
      <c r="DC29" s="8"/>
      <c r="DD29" s="8"/>
      <c r="DE29" s="8"/>
      <c r="DF29" s="8"/>
      <c r="DG29" s="8"/>
      <c r="DH29" s="96"/>
      <c r="DI29" s="96"/>
      <c r="DL29" s="8"/>
      <c r="DM29" s="8"/>
      <c r="DN29" s="8"/>
      <c r="DO29" s="17"/>
      <c r="DP29" s="52"/>
      <c r="DQ29" s="14"/>
      <c r="DR29" s="8"/>
      <c r="DS29" s="8"/>
      <c r="DT29" s="8"/>
      <c r="DU29" s="8"/>
      <c r="DV29" s="8"/>
      <c r="DW29" s="8"/>
      <c r="DX29" s="8"/>
      <c r="DY29" s="8"/>
      <c r="DZ29" s="8"/>
      <c r="EA29" s="8"/>
      <c r="EB29" s="8"/>
    </row>
    <row r="30" spans="2:132" ht="16.5" x14ac:dyDescent="0.35">
      <c r="B30" s="126"/>
      <c r="C30" s="282"/>
      <c r="E30" s="108" t="s">
        <v>393</v>
      </c>
      <c r="F30" s="54" t="s">
        <v>344</v>
      </c>
      <c r="G30" s="314" t="s">
        <v>146</v>
      </c>
      <c r="H30" s="548" t="s">
        <v>456</v>
      </c>
      <c r="I30" s="69" t="s">
        <v>78</v>
      </c>
      <c r="J30" s="69" t="s">
        <v>78</v>
      </c>
      <c r="K30" s="17" t="s">
        <v>78</v>
      </c>
      <c r="L30" s="69" t="s">
        <v>78</v>
      </c>
      <c r="M30" s="17" t="s">
        <v>78</v>
      </c>
      <c r="N30" s="17" t="s">
        <v>78</v>
      </c>
      <c r="O30" s="17" t="s">
        <v>78</v>
      </c>
      <c r="P30" s="69" t="s">
        <v>78</v>
      </c>
      <c r="Q30" s="138" t="s">
        <v>78</v>
      </c>
      <c r="R30" s="17" t="s">
        <v>78</v>
      </c>
      <c r="S30" s="17" t="s">
        <v>78</v>
      </c>
      <c r="T30" s="17" t="s">
        <v>78</v>
      </c>
      <c r="U30" s="17" t="s">
        <v>78</v>
      </c>
      <c r="V30" s="69" t="s">
        <v>78</v>
      </c>
      <c r="W30" s="17" t="s">
        <v>78</v>
      </c>
      <c r="X30" s="69" t="s">
        <v>78</v>
      </c>
      <c r="Y30" s="17" t="s">
        <v>78</v>
      </c>
      <c r="Z30" s="17" t="s">
        <v>78</v>
      </c>
      <c r="AA30" s="17" t="s">
        <v>78</v>
      </c>
      <c r="AB30" s="17" t="s">
        <v>78</v>
      </c>
      <c r="AC30" s="77" t="s">
        <v>78</v>
      </c>
      <c r="AD30" s="151">
        <v>1.3600000000000001E-3</v>
      </c>
      <c r="AE30" s="69">
        <v>3.2299999999999998E-3</v>
      </c>
      <c r="AF30" s="17">
        <v>7.92</v>
      </c>
      <c r="AG30" s="111" t="s">
        <v>78</v>
      </c>
      <c r="AH30" s="17">
        <v>7.94</v>
      </c>
      <c r="AI30" s="17" t="s">
        <v>78</v>
      </c>
      <c r="AJ30" s="92">
        <v>18</v>
      </c>
      <c r="AK30" s="69">
        <v>7.3200000000000001E-4</v>
      </c>
      <c r="AL30" s="17">
        <v>3.4299999999999999E-4</v>
      </c>
      <c r="AM30" s="93">
        <v>1.98</v>
      </c>
      <c r="AN30" s="95">
        <v>5.7899999999999996E-6</v>
      </c>
      <c r="AO30" s="95">
        <v>8.6799999999999999E-6</v>
      </c>
      <c r="AP30" s="135">
        <v>2.3900000000000002E-5</v>
      </c>
      <c r="AQ30" s="135">
        <v>2.5299999999999998E-5</v>
      </c>
      <c r="AR30" s="95">
        <v>4.3499999999999999E-6</v>
      </c>
      <c r="AS30" s="17">
        <v>0.83599999999999997</v>
      </c>
      <c r="AT30" s="17" t="s">
        <v>78</v>
      </c>
      <c r="AU30" s="17">
        <v>6.1899999999999997E-2</v>
      </c>
      <c r="AV30" s="17" t="s">
        <v>78</v>
      </c>
      <c r="AW30" s="17" t="s">
        <v>78</v>
      </c>
      <c r="AX30" s="60">
        <v>4.8000000000000001E-2</v>
      </c>
      <c r="AY30" s="95">
        <v>6.8499999999999995E-4</v>
      </c>
      <c r="AZ30" s="69" t="s">
        <v>78</v>
      </c>
      <c r="BA30" s="17" t="s">
        <v>78</v>
      </c>
      <c r="BB30" s="17" t="s">
        <v>78</v>
      </c>
      <c r="BC30" s="69">
        <v>4.5499999999999999E-2</v>
      </c>
      <c r="BD30" s="69">
        <v>4.4699999999999997E-2</v>
      </c>
      <c r="BE30" s="17" t="s">
        <v>78</v>
      </c>
      <c r="BF30" s="17" t="s">
        <v>78</v>
      </c>
      <c r="BG30" s="92">
        <v>0.11</v>
      </c>
      <c r="BH30" s="17" t="s">
        <v>78</v>
      </c>
      <c r="BI30" s="17">
        <v>7.4899999999999994E-2</v>
      </c>
      <c r="BJ30" s="60">
        <v>4.2999999999999997E-2</v>
      </c>
      <c r="BK30" s="69">
        <v>3.68E-4</v>
      </c>
      <c r="BL30" s="69">
        <v>1.72E-3</v>
      </c>
      <c r="BM30" s="17">
        <v>56.3</v>
      </c>
      <c r="BN30" s="17" t="s">
        <v>78</v>
      </c>
      <c r="BO30" s="17" t="s">
        <v>78</v>
      </c>
      <c r="BP30" s="17" t="s">
        <v>78</v>
      </c>
      <c r="BQ30" s="17" t="s">
        <v>78</v>
      </c>
      <c r="BR30" s="17" t="s">
        <v>78</v>
      </c>
      <c r="BS30" s="17" t="s">
        <v>78</v>
      </c>
      <c r="BT30" s="17" t="s">
        <v>78</v>
      </c>
      <c r="BU30" s="17" t="s">
        <v>78</v>
      </c>
      <c r="BV30" s="17" t="s">
        <v>78</v>
      </c>
      <c r="BW30" s="17" t="s">
        <v>78</v>
      </c>
      <c r="BX30" s="17">
        <v>0.45400000000000001</v>
      </c>
      <c r="BY30" s="17" t="s">
        <v>78</v>
      </c>
      <c r="BZ30" s="17" t="s">
        <v>78</v>
      </c>
      <c r="CA30" s="17" t="s">
        <v>78</v>
      </c>
      <c r="CB30" s="95">
        <v>1.01E-5</v>
      </c>
      <c r="CC30" s="17">
        <v>2.5299999999999998</v>
      </c>
      <c r="CD30" s="17" t="s">
        <v>78</v>
      </c>
      <c r="CE30" s="69" t="s">
        <v>78</v>
      </c>
      <c r="CF30" s="17" t="s">
        <v>78</v>
      </c>
      <c r="CG30" s="17" t="s">
        <v>78</v>
      </c>
      <c r="CH30" s="17" t="s">
        <v>78</v>
      </c>
      <c r="CI30" s="92">
        <v>0.15</v>
      </c>
      <c r="CJ30" s="69">
        <v>2.18E-2</v>
      </c>
      <c r="CK30" s="17">
        <v>9.8229999999999998E-2</v>
      </c>
      <c r="CL30" s="17" t="s">
        <v>78</v>
      </c>
      <c r="CM30" s="17" t="s">
        <v>78</v>
      </c>
      <c r="CN30" s="17" t="s">
        <v>78</v>
      </c>
      <c r="CO30" s="17" t="s">
        <v>78</v>
      </c>
      <c r="CP30" s="17" t="s">
        <v>78</v>
      </c>
      <c r="CQ30" s="17" t="s">
        <v>78</v>
      </c>
      <c r="CR30" s="17" t="s">
        <v>78</v>
      </c>
      <c r="CS30" s="135">
        <v>5.0699999999999997E-6</v>
      </c>
      <c r="CT30" s="111">
        <v>3.5999999999999999E-3</v>
      </c>
      <c r="CU30" s="17" t="s">
        <v>78</v>
      </c>
      <c r="CV30" s="111" t="s">
        <v>78</v>
      </c>
      <c r="CW30" s="17" t="s">
        <v>78</v>
      </c>
      <c r="CX30" s="17" t="s">
        <v>78</v>
      </c>
      <c r="CY30" s="69">
        <v>5.9599999999999996E-4</v>
      </c>
      <c r="CZ30" s="69" t="s">
        <v>78</v>
      </c>
      <c r="DA30" s="17">
        <v>5.5899999999999998E-2</v>
      </c>
      <c r="DB30" s="17" t="s">
        <v>78</v>
      </c>
      <c r="DC30" s="17" t="s">
        <v>78</v>
      </c>
      <c r="DD30" s="17">
        <v>6.7599999999999993E-2</v>
      </c>
      <c r="DE30" s="17">
        <v>0.98199999999999998</v>
      </c>
      <c r="DF30" s="17" t="s">
        <v>78</v>
      </c>
      <c r="DG30" s="17">
        <v>5.3800000000000001E-2</v>
      </c>
      <c r="DH30" s="200">
        <v>0.113</v>
      </c>
      <c r="DI30" s="69" t="s">
        <v>78</v>
      </c>
      <c r="DJ30" s="17" t="s">
        <v>78</v>
      </c>
      <c r="DK30" s="17" t="s">
        <v>78</v>
      </c>
      <c r="DL30" s="60">
        <v>2.52E-2</v>
      </c>
      <c r="DM30" s="60" t="s">
        <v>78</v>
      </c>
      <c r="DN30" s="17">
        <v>0.27300000000000002</v>
      </c>
      <c r="DO30" s="17" t="s">
        <v>78</v>
      </c>
      <c r="DP30" s="52" t="s">
        <v>78</v>
      </c>
      <c r="DQ30" s="14"/>
      <c r="DR30" s="8"/>
      <c r="DS30" s="8"/>
      <c r="DT30" s="8"/>
      <c r="DU30" s="8"/>
      <c r="DV30" s="8"/>
      <c r="DW30" s="8"/>
      <c r="DX30" s="8"/>
      <c r="DY30" s="8"/>
      <c r="DZ30" s="8"/>
      <c r="EA30" s="8"/>
      <c r="EB30" s="8"/>
    </row>
    <row r="31" spans="2:132" ht="16.5" x14ac:dyDescent="0.35">
      <c r="B31" s="126"/>
      <c r="C31" s="282"/>
      <c r="D31" s="206"/>
      <c r="E31" s="108" t="s">
        <v>394</v>
      </c>
      <c r="F31" s="54" t="s">
        <v>344</v>
      </c>
      <c r="G31" s="314" t="s">
        <v>146</v>
      </c>
      <c r="H31" s="548" t="s">
        <v>456</v>
      </c>
      <c r="I31" s="69" t="s">
        <v>78</v>
      </c>
      <c r="J31" s="69" t="s">
        <v>78</v>
      </c>
      <c r="K31" s="17" t="s">
        <v>78</v>
      </c>
      <c r="L31" s="69" t="s">
        <v>78</v>
      </c>
      <c r="M31" s="17" t="s">
        <v>78</v>
      </c>
      <c r="N31" s="17" t="s">
        <v>78</v>
      </c>
      <c r="O31" s="17" t="s">
        <v>78</v>
      </c>
      <c r="P31" s="69" t="s">
        <v>78</v>
      </c>
      <c r="Q31" s="138" t="s">
        <v>78</v>
      </c>
      <c r="R31" s="17" t="s">
        <v>78</v>
      </c>
      <c r="S31" s="17" t="s">
        <v>78</v>
      </c>
      <c r="T31" s="17" t="s">
        <v>78</v>
      </c>
      <c r="U31" s="17" t="s">
        <v>78</v>
      </c>
      <c r="V31" s="69" t="s">
        <v>78</v>
      </c>
      <c r="W31" s="17" t="s">
        <v>78</v>
      </c>
      <c r="X31" s="69" t="s">
        <v>78</v>
      </c>
      <c r="Y31" s="17" t="s">
        <v>78</v>
      </c>
      <c r="Z31" s="17" t="s">
        <v>78</v>
      </c>
      <c r="AA31" s="17" t="s">
        <v>78</v>
      </c>
      <c r="AB31" s="17" t="s">
        <v>78</v>
      </c>
      <c r="AC31" s="77" t="s">
        <v>78</v>
      </c>
      <c r="AD31" s="151">
        <v>1.2800000000000001E-3</v>
      </c>
      <c r="AE31" s="69">
        <v>5.64E-3</v>
      </c>
      <c r="AF31" s="17">
        <v>8.5299999999999994</v>
      </c>
      <c r="AG31" s="111" t="s">
        <v>78</v>
      </c>
      <c r="AH31" s="17">
        <v>5.24</v>
      </c>
      <c r="AI31" s="17" t="s">
        <v>78</v>
      </c>
      <c r="AJ31" s="92">
        <v>18</v>
      </c>
      <c r="AK31" s="69" t="s">
        <v>78</v>
      </c>
      <c r="AL31" s="17" t="s">
        <v>78</v>
      </c>
      <c r="AM31" s="92">
        <v>0.44900000000000001</v>
      </c>
      <c r="AN31" s="95" t="s">
        <v>78</v>
      </c>
      <c r="AO31" s="17">
        <v>1.6899999999999999E-4</v>
      </c>
      <c r="AP31" s="69">
        <v>4.2299999999999998E-4</v>
      </c>
      <c r="AQ31" s="69">
        <v>4.2200000000000001E-4</v>
      </c>
      <c r="AR31" s="95" t="s">
        <v>78</v>
      </c>
      <c r="AS31" s="17">
        <v>0.27200000000000002</v>
      </c>
      <c r="AT31" s="17" t="s">
        <v>78</v>
      </c>
      <c r="AU31" s="17">
        <v>3.7400000000000003E-2</v>
      </c>
      <c r="AV31" s="17" t="s">
        <v>78</v>
      </c>
      <c r="AW31" s="17" t="s">
        <v>78</v>
      </c>
      <c r="AX31" s="17">
        <v>2.9100000000000001E-2</v>
      </c>
      <c r="AY31" s="95">
        <v>7.0699999999999995E-4</v>
      </c>
      <c r="AZ31" s="69" t="s">
        <v>78</v>
      </c>
      <c r="BA31" s="17" t="s">
        <v>78</v>
      </c>
      <c r="BB31" s="17" t="s">
        <v>78</v>
      </c>
      <c r="BC31" s="69">
        <v>2.7400000000000001E-2</v>
      </c>
      <c r="BD31" s="69">
        <v>2.69E-2</v>
      </c>
      <c r="BE31" s="17" t="s">
        <v>78</v>
      </c>
      <c r="BF31" s="17" t="s">
        <v>78</v>
      </c>
      <c r="BG31" s="17">
        <v>4.0500000000000001E-2</v>
      </c>
      <c r="BH31" s="17" t="s">
        <v>78</v>
      </c>
      <c r="BI31" s="17">
        <v>4.5199999999999997E-2</v>
      </c>
      <c r="BJ31" s="17">
        <v>2.41E-2</v>
      </c>
      <c r="BK31" s="111">
        <v>1.1299999999999999E-3</v>
      </c>
      <c r="BL31" s="69">
        <v>5.7800000000000004E-3</v>
      </c>
      <c r="BM31" s="17">
        <v>53.9</v>
      </c>
      <c r="BN31" s="17" t="s">
        <v>78</v>
      </c>
      <c r="BO31" s="17" t="s">
        <v>78</v>
      </c>
      <c r="BP31" s="17" t="s">
        <v>78</v>
      </c>
      <c r="BQ31" s="17" t="s">
        <v>78</v>
      </c>
      <c r="BR31" s="17" t="s">
        <v>78</v>
      </c>
      <c r="BS31" s="17" t="s">
        <v>78</v>
      </c>
      <c r="BT31" s="17" t="s">
        <v>78</v>
      </c>
      <c r="BU31" s="17" t="s">
        <v>78</v>
      </c>
      <c r="BV31" s="17" t="s">
        <v>78</v>
      </c>
      <c r="BW31" s="17" t="s">
        <v>78</v>
      </c>
      <c r="BX31" s="93">
        <v>1.1299999999999999</v>
      </c>
      <c r="BY31" s="17" t="s">
        <v>78</v>
      </c>
      <c r="BZ31" s="17" t="s">
        <v>78</v>
      </c>
      <c r="CA31" s="17" t="s">
        <v>78</v>
      </c>
      <c r="CB31" s="95" t="s">
        <v>78</v>
      </c>
      <c r="CC31" s="17">
        <v>2.5499999999999998</v>
      </c>
      <c r="CD31" s="17" t="s">
        <v>78</v>
      </c>
      <c r="CE31" s="69" t="s">
        <v>78</v>
      </c>
      <c r="CF31" s="17" t="s">
        <v>78</v>
      </c>
      <c r="CG31" s="17" t="s">
        <v>78</v>
      </c>
      <c r="CH31" s="17" t="s">
        <v>78</v>
      </c>
      <c r="CI31" s="17">
        <v>2.0400000000000001E-2</v>
      </c>
      <c r="CJ31" s="69">
        <v>3.39E-2</v>
      </c>
      <c r="CK31" s="60">
        <v>7.5899999999999995E-2</v>
      </c>
      <c r="CL31" s="17" t="s">
        <v>78</v>
      </c>
      <c r="CM31" s="17" t="s">
        <v>78</v>
      </c>
      <c r="CN31" s="17" t="s">
        <v>78</v>
      </c>
      <c r="CO31" s="17" t="s">
        <v>78</v>
      </c>
      <c r="CP31" s="17" t="s">
        <v>78</v>
      </c>
      <c r="CQ31" s="17" t="s">
        <v>78</v>
      </c>
      <c r="CR31" s="17" t="s">
        <v>78</v>
      </c>
      <c r="CS31" s="135" t="s">
        <v>78</v>
      </c>
      <c r="CT31" s="69">
        <v>1.06E-2</v>
      </c>
      <c r="CU31" s="17" t="s">
        <v>78</v>
      </c>
      <c r="CV31" s="69" t="s">
        <v>78</v>
      </c>
      <c r="CW31" s="17" t="s">
        <v>78</v>
      </c>
      <c r="CX31" s="17" t="s">
        <v>78</v>
      </c>
      <c r="CY31" s="111">
        <v>1.39E-3</v>
      </c>
      <c r="CZ31" s="111" t="s">
        <v>78</v>
      </c>
      <c r="DA31" s="17">
        <v>2.41E-2</v>
      </c>
      <c r="DB31" s="17" t="s">
        <v>78</v>
      </c>
      <c r="DC31" s="17" t="s">
        <v>78</v>
      </c>
      <c r="DD31" s="17">
        <v>4.0800000000000003E-2</v>
      </c>
      <c r="DE31" s="17">
        <v>0.41599999999999998</v>
      </c>
      <c r="DF31" s="17" t="s">
        <v>78</v>
      </c>
      <c r="DG31" s="17">
        <v>3.2399999999999998E-2</v>
      </c>
      <c r="DH31" s="69">
        <v>1.46E-2</v>
      </c>
      <c r="DI31" s="69" t="s">
        <v>78</v>
      </c>
      <c r="DJ31" s="17" t="s">
        <v>78</v>
      </c>
      <c r="DK31" s="17" t="s">
        <v>78</v>
      </c>
      <c r="DL31" s="60">
        <v>1.52E-2</v>
      </c>
      <c r="DM31" s="60" t="s">
        <v>78</v>
      </c>
      <c r="DN31" s="17">
        <v>0.188</v>
      </c>
      <c r="DO31" s="17" t="s">
        <v>78</v>
      </c>
      <c r="DP31" s="52" t="s">
        <v>78</v>
      </c>
      <c r="DQ31" s="14"/>
      <c r="DR31" s="8"/>
      <c r="DS31" s="8"/>
      <c r="DT31" s="8"/>
      <c r="DU31" s="8"/>
      <c r="DV31" s="8"/>
      <c r="DW31" s="8"/>
      <c r="DX31" s="8"/>
      <c r="DY31" s="8"/>
      <c r="DZ31" s="8"/>
      <c r="EA31" s="8"/>
      <c r="EB31" s="8"/>
    </row>
    <row r="32" spans="2:132" ht="16.5" x14ac:dyDescent="0.35">
      <c r="B32" s="126"/>
      <c r="C32" s="282"/>
      <c r="D32" s="206"/>
      <c r="E32" s="108" t="s">
        <v>459</v>
      </c>
      <c r="F32" s="54" t="s">
        <v>385</v>
      </c>
      <c r="G32" s="314" t="s">
        <v>146</v>
      </c>
      <c r="H32" s="548" t="s">
        <v>456</v>
      </c>
      <c r="I32" s="69" t="s">
        <v>78</v>
      </c>
      <c r="J32" s="69" t="s">
        <v>78</v>
      </c>
      <c r="K32" s="17" t="s">
        <v>78</v>
      </c>
      <c r="L32" s="69" t="s">
        <v>78</v>
      </c>
      <c r="M32" s="17" t="s">
        <v>78</v>
      </c>
      <c r="N32" s="17" t="s">
        <v>78</v>
      </c>
      <c r="O32" s="17" t="s">
        <v>78</v>
      </c>
      <c r="P32" s="69" t="s">
        <v>78</v>
      </c>
      <c r="Q32" s="138" t="s">
        <v>78</v>
      </c>
      <c r="R32" s="17" t="s">
        <v>78</v>
      </c>
      <c r="S32" s="17" t="s">
        <v>78</v>
      </c>
      <c r="T32" s="17" t="s">
        <v>78</v>
      </c>
      <c r="U32" s="17" t="s">
        <v>78</v>
      </c>
      <c r="V32" s="69" t="s">
        <v>78</v>
      </c>
      <c r="W32" s="17" t="s">
        <v>78</v>
      </c>
      <c r="X32" s="69" t="s">
        <v>78</v>
      </c>
      <c r="Y32" s="17" t="s">
        <v>78</v>
      </c>
      <c r="Z32" s="17" t="s">
        <v>78</v>
      </c>
      <c r="AA32" s="17" t="s">
        <v>78</v>
      </c>
      <c r="AB32" s="17" t="s">
        <v>78</v>
      </c>
      <c r="AC32" s="77" t="s">
        <v>78</v>
      </c>
      <c r="AD32" s="151" t="s">
        <v>78</v>
      </c>
      <c r="AE32" s="69" t="s">
        <v>78</v>
      </c>
      <c r="AF32" s="17">
        <v>2.85</v>
      </c>
      <c r="AG32" s="111" t="s">
        <v>78</v>
      </c>
      <c r="AH32" s="17">
        <v>2.68</v>
      </c>
      <c r="AI32" s="17" t="s">
        <v>78</v>
      </c>
      <c r="AJ32" s="92">
        <v>18</v>
      </c>
      <c r="AK32" s="69" t="s">
        <v>78</v>
      </c>
      <c r="AL32" s="17" t="s">
        <v>78</v>
      </c>
      <c r="AM32" s="93">
        <v>1.61</v>
      </c>
      <c r="AN32" s="95" t="s">
        <v>78</v>
      </c>
      <c r="AO32" s="17" t="s">
        <v>78</v>
      </c>
      <c r="AP32" s="69" t="s">
        <v>78</v>
      </c>
      <c r="AQ32" s="69" t="s">
        <v>78</v>
      </c>
      <c r="AR32" s="95" t="s">
        <v>78</v>
      </c>
      <c r="AS32" s="17">
        <v>0.67600000000000005</v>
      </c>
      <c r="AT32" s="17" t="s">
        <v>78</v>
      </c>
      <c r="AU32" s="17">
        <v>1.8100000000000002E-2</v>
      </c>
      <c r="AV32" s="17" t="s">
        <v>78</v>
      </c>
      <c r="AW32" s="17" t="s">
        <v>78</v>
      </c>
      <c r="AX32" s="60">
        <v>1.4E-2</v>
      </c>
      <c r="AY32" s="95" t="s">
        <v>78</v>
      </c>
      <c r="AZ32" s="69" t="s">
        <v>78</v>
      </c>
      <c r="BA32" s="17" t="s">
        <v>78</v>
      </c>
      <c r="BB32" s="17" t="s">
        <v>78</v>
      </c>
      <c r="BC32" s="69">
        <v>1.3299999999999999E-2</v>
      </c>
      <c r="BD32" s="98">
        <v>1.2999999999999999E-2</v>
      </c>
      <c r="BE32" s="60" t="s">
        <v>78</v>
      </c>
      <c r="BF32" s="17" t="s">
        <v>78</v>
      </c>
      <c r="BG32" s="17">
        <v>2.53E-2</v>
      </c>
      <c r="BH32" s="17" t="s">
        <v>78</v>
      </c>
      <c r="BI32" s="17">
        <v>2.1700000000000001E-2</v>
      </c>
      <c r="BJ32" s="17">
        <v>1.15E-2</v>
      </c>
      <c r="BK32" s="69" t="s">
        <v>78</v>
      </c>
      <c r="BL32" s="69" t="s">
        <v>78</v>
      </c>
      <c r="BM32" s="17">
        <v>20.9</v>
      </c>
      <c r="BN32" s="17" t="s">
        <v>78</v>
      </c>
      <c r="BO32" s="17" t="s">
        <v>78</v>
      </c>
      <c r="BP32" s="17" t="s">
        <v>78</v>
      </c>
      <c r="BQ32" s="17" t="s">
        <v>78</v>
      </c>
      <c r="BR32" s="17" t="s">
        <v>78</v>
      </c>
      <c r="BS32" s="17" t="s">
        <v>78</v>
      </c>
      <c r="BT32" s="17" t="s">
        <v>78</v>
      </c>
      <c r="BU32" s="17" t="s">
        <v>78</v>
      </c>
      <c r="BV32" s="17" t="s">
        <v>78</v>
      </c>
      <c r="BW32" s="17" t="s">
        <v>78</v>
      </c>
      <c r="BX32" s="17" t="s">
        <v>78</v>
      </c>
      <c r="BY32" s="17" t="s">
        <v>78</v>
      </c>
      <c r="BZ32" s="17" t="s">
        <v>78</v>
      </c>
      <c r="CA32" s="17" t="s">
        <v>78</v>
      </c>
      <c r="CB32" s="95" t="s">
        <v>78</v>
      </c>
      <c r="CC32" s="17">
        <v>3.12</v>
      </c>
      <c r="CD32" s="17" t="s">
        <v>78</v>
      </c>
      <c r="CE32" s="69" t="s">
        <v>78</v>
      </c>
      <c r="CF32" s="17" t="s">
        <v>78</v>
      </c>
      <c r="CG32" s="17" t="s">
        <v>78</v>
      </c>
      <c r="CH32" s="17" t="s">
        <v>78</v>
      </c>
      <c r="CI32" s="60">
        <v>4.2000000000000003E-2</v>
      </c>
      <c r="CJ32" s="69" t="s">
        <v>78</v>
      </c>
      <c r="CK32" s="60">
        <v>9.9000000000000005E-2</v>
      </c>
      <c r="CL32" s="17" t="s">
        <v>78</v>
      </c>
      <c r="CM32" s="17" t="s">
        <v>78</v>
      </c>
      <c r="CN32" s="60">
        <f>0.000141*1020</f>
        <v>0.14382</v>
      </c>
      <c r="CO32" s="17" t="s">
        <v>78</v>
      </c>
      <c r="CP32" s="17" t="s">
        <v>78</v>
      </c>
      <c r="CQ32" s="17" t="s">
        <v>78</v>
      </c>
      <c r="CR32" s="17" t="s">
        <v>78</v>
      </c>
      <c r="CS32" s="135" t="s">
        <v>78</v>
      </c>
      <c r="CT32" s="69" t="s">
        <v>78</v>
      </c>
      <c r="CU32" s="17" t="s">
        <v>78</v>
      </c>
      <c r="CV32" s="69" t="s">
        <v>78</v>
      </c>
      <c r="CW32" s="17" t="s">
        <v>78</v>
      </c>
      <c r="CX32" s="17" t="s">
        <v>78</v>
      </c>
      <c r="CY32" s="69" t="s">
        <v>78</v>
      </c>
      <c r="CZ32" s="69" t="s">
        <v>78</v>
      </c>
      <c r="DA32" s="17">
        <v>1.21E-2</v>
      </c>
      <c r="DB32" s="17" t="s">
        <v>78</v>
      </c>
      <c r="DC32" s="17" t="s">
        <v>78</v>
      </c>
      <c r="DD32" s="17">
        <v>2.58E-2</v>
      </c>
      <c r="DE32" s="17">
        <v>0.56899999999999995</v>
      </c>
      <c r="DF32" s="17" t="s">
        <v>78</v>
      </c>
      <c r="DG32" s="17">
        <v>1.5599999999999999E-2</v>
      </c>
      <c r="DH32" s="69" t="s">
        <v>78</v>
      </c>
      <c r="DI32" s="69" t="s">
        <v>78</v>
      </c>
      <c r="DJ32" s="17" t="s">
        <v>78</v>
      </c>
      <c r="DK32" s="17" t="s">
        <v>78</v>
      </c>
      <c r="DL32" s="17">
        <v>7.3200000000000001E-3</v>
      </c>
      <c r="DM32" s="17" t="s">
        <v>78</v>
      </c>
      <c r="DN32" s="17">
        <v>0.19900000000000001</v>
      </c>
      <c r="DO32" s="17" t="s">
        <v>78</v>
      </c>
      <c r="DP32" s="52" t="s">
        <v>78</v>
      </c>
      <c r="DQ32" s="14"/>
      <c r="DR32" s="8"/>
      <c r="DS32" s="8"/>
      <c r="DT32" s="8"/>
      <c r="DU32" s="8"/>
      <c r="DV32" s="8"/>
      <c r="DW32" s="8"/>
      <c r="DX32" s="8"/>
      <c r="DY32" s="8"/>
      <c r="DZ32" s="8"/>
      <c r="EA32" s="8"/>
      <c r="EB32" s="8"/>
    </row>
    <row r="33" spans="2:132" ht="16.5" x14ac:dyDescent="0.35">
      <c r="B33" s="126"/>
      <c r="C33" s="282"/>
      <c r="D33" s="9"/>
      <c r="E33" s="108" t="s">
        <v>395</v>
      </c>
      <c r="F33" s="54" t="s">
        <v>177</v>
      </c>
      <c r="G33" s="314" t="s">
        <v>146</v>
      </c>
      <c r="H33" s="548" t="s">
        <v>456</v>
      </c>
      <c r="I33" s="69" t="s">
        <v>78</v>
      </c>
      <c r="J33" s="69" t="s">
        <v>78</v>
      </c>
      <c r="K33" s="17" t="s">
        <v>78</v>
      </c>
      <c r="L33" s="69" t="s">
        <v>78</v>
      </c>
      <c r="M33" s="17" t="s">
        <v>78</v>
      </c>
      <c r="N33" s="17" t="s">
        <v>78</v>
      </c>
      <c r="O33" s="17" t="s">
        <v>78</v>
      </c>
      <c r="P33" s="69" t="s">
        <v>78</v>
      </c>
      <c r="Q33" s="138" t="s">
        <v>78</v>
      </c>
      <c r="R33" s="17" t="s">
        <v>78</v>
      </c>
      <c r="S33" s="17" t="s">
        <v>78</v>
      </c>
      <c r="T33" s="17" t="s">
        <v>78</v>
      </c>
      <c r="U33" s="17" t="s">
        <v>78</v>
      </c>
      <c r="V33" s="69" t="s">
        <v>78</v>
      </c>
      <c r="W33" s="17" t="s">
        <v>78</v>
      </c>
      <c r="X33" s="69" t="s">
        <v>78</v>
      </c>
      <c r="Y33" s="17" t="s">
        <v>78</v>
      </c>
      <c r="Z33" s="17" t="s">
        <v>78</v>
      </c>
      <c r="AA33" s="17" t="s">
        <v>78</v>
      </c>
      <c r="AB33" s="17" t="s">
        <v>78</v>
      </c>
      <c r="AC33" s="77" t="s">
        <v>78</v>
      </c>
      <c r="AD33" s="151">
        <f t="shared" ref="AD33:DE33" si="13">MAX(AD30:AD32)</f>
        <v>1.3600000000000001E-3</v>
      </c>
      <c r="AE33" s="69">
        <f t="shared" si="13"/>
        <v>5.64E-3</v>
      </c>
      <c r="AF33" s="17">
        <f t="shared" si="13"/>
        <v>8.5299999999999994</v>
      </c>
      <c r="AG33" s="111" t="s">
        <v>78</v>
      </c>
      <c r="AH33" s="17">
        <f t="shared" si="13"/>
        <v>7.94</v>
      </c>
      <c r="AI33" s="17" t="s">
        <v>78</v>
      </c>
      <c r="AJ33" s="92">
        <v>18</v>
      </c>
      <c r="AK33" s="69">
        <f>MAX(AK30:AK32)</f>
        <v>7.3200000000000001E-4</v>
      </c>
      <c r="AL33" s="17">
        <f t="shared" si="13"/>
        <v>3.4299999999999999E-4</v>
      </c>
      <c r="AM33" s="17">
        <f t="shared" si="13"/>
        <v>1.98</v>
      </c>
      <c r="AN33" s="95">
        <f t="shared" si="13"/>
        <v>5.7899999999999996E-6</v>
      </c>
      <c r="AO33" s="17">
        <f t="shared" si="13"/>
        <v>1.6899999999999999E-4</v>
      </c>
      <c r="AP33" s="69">
        <f t="shared" si="13"/>
        <v>4.2299999999999998E-4</v>
      </c>
      <c r="AQ33" s="69">
        <f t="shared" si="13"/>
        <v>4.2200000000000001E-4</v>
      </c>
      <c r="AR33" s="95">
        <f t="shared" si="13"/>
        <v>4.3499999999999999E-6</v>
      </c>
      <c r="AS33" s="17">
        <f t="shared" si="13"/>
        <v>0.83599999999999997</v>
      </c>
      <c r="AT33" s="17" t="s">
        <v>78</v>
      </c>
      <c r="AU33" s="17">
        <f t="shared" si="13"/>
        <v>6.1899999999999997E-2</v>
      </c>
      <c r="AV33" s="17" t="s">
        <v>78</v>
      </c>
      <c r="AW33" s="17" t="s">
        <v>78</v>
      </c>
      <c r="AX33" s="60">
        <f t="shared" si="13"/>
        <v>4.8000000000000001E-2</v>
      </c>
      <c r="AY33" s="95">
        <f t="shared" si="13"/>
        <v>7.0699999999999995E-4</v>
      </c>
      <c r="AZ33" s="69" t="s">
        <v>78</v>
      </c>
      <c r="BA33" s="17" t="s">
        <v>78</v>
      </c>
      <c r="BB33" s="17" t="s">
        <v>78</v>
      </c>
      <c r="BC33" s="69">
        <f t="shared" si="13"/>
        <v>4.5499999999999999E-2</v>
      </c>
      <c r="BD33" s="69">
        <f t="shared" si="13"/>
        <v>4.4699999999999997E-2</v>
      </c>
      <c r="BE33" s="17" t="s">
        <v>78</v>
      </c>
      <c r="BF33" s="17" t="s">
        <v>78</v>
      </c>
      <c r="BG33" s="92">
        <f t="shared" si="13"/>
        <v>0.11</v>
      </c>
      <c r="BH33" s="17" t="s">
        <v>78</v>
      </c>
      <c r="BI33" s="17">
        <f t="shared" si="13"/>
        <v>7.4899999999999994E-2</v>
      </c>
      <c r="BJ33" s="60">
        <f t="shared" ref="BJ33" si="14">MAX(BJ30:BJ32)</f>
        <v>4.2999999999999997E-2</v>
      </c>
      <c r="BK33" s="69">
        <f t="shared" si="13"/>
        <v>1.1299999999999999E-3</v>
      </c>
      <c r="BL33" s="69">
        <f t="shared" si="13"/>
        <v>5.7800000000000004E-3</v>
      </c>
      <c r="BM33" s="17">
        <f t="shared" si="13"/>
        <v>56.3</v>
      </c>
      <c r="BN33" s="17" t="s">
        <v>78</v>
      </c>
      <c r="BO33" s="17" t="s">
        <v>78</v>
      </c>
      <c r="BP33" s="17" t="s">
        <v>78</v>
      </c>
      <c r="BQ33" s="17" t="s">
        <v>78</v>
      </c>
      <c r="BR33" s="17" t="s">
        <v>78</v>
      </c>
      <c r="BS33" s="17" t="s">
        <v>78</v>
      </c>
      <c r="BT33" s="17" t="s">
        <v>78</v>
      </c>
      <c r="BU33" s="17" t="s">
        <v>78</v>
      </c>
      <c r="BV33" s="17" t="s">
        <v>78</v>
      </c>
      <c r="BW33" s="17" t="s">
        <v>78</v>
      </c>
      <c r="BX33" s="17">
        <f t="shared" ref="BX33" si="15">MAX(BX30:BX32)</f>
        <v>1.1299999999999999</v>
      </c>
      <c r="BY33" s="17" t="s">
        <v>78</v>
      </c>
      <c r="BZ33" s="17" t="s">
        <v>78</v>
      </c>
      <c r="CA33" s="17" t="s">
        <v>78</v>
      </c>
      <c r="CB33" s="95">
        <f t="shared" si="13"/>
        <v>1.01E-5</v>
      </c>
      <c r="CC33" s="17">
        <f t="shared" si="13"/>
        <v>3.12</v>
      </c>
      <c r="CD33" s="17" t="s">
        <v>78</v>
      </c>
      <c r="CE33" s="69" t="s">
        <v>78</v>
      </c>
      <c r="CF33" s="17" t="s">
        <v>78</v>
      </c>
      <c r="CG33" s="17" t="s">
        <v>78</v>
      </c>
      <c r="CH33" s="17" t="s">
        <v>78</v>
      </c>
      <c r="CI33" s="92">
        <f t="shared" si="13"/>
        <v>0.15</v>
      </c>
      <c r="CJ33" s="69">
        <f t="shared" si="13"/>
        <v>3.39E-2</v>
      </c>
      <c r="CK33" s="60">
        <f t="shared" si="13"/>
        <v>9.9000000000000005E-2</v>
      </c>
      <c r="CL33" s="17" t="s">
        <v>78</v>
      </c>
      <c r="CM33" s="17" t="s">
        <v>78</v>
      </c>
      <c r="CN33" s="60">
        <f t="shared" si="13"/>
        <v>0.14382</v>
      </c>
      <c r="CO33" s="17" t="s">
        <v>78</v>
      </c>
      <c r="CP33" s="17" t="s">
        <v>78</v>
      </c>
      <c r="CQ33" s="17" t="s">
        <v>78</v>
      </c>
      <c r="CR33" s="17" t="s">
        <v>78</v>
      </c>
      <c r="CS33" s="135">
        <f t="shared" si="13"/>
        <v>5.0699999999999997E-6</v>
      </c>
      <c r="CT33" s="69">
        <f t="shared" si="13"/>
        <v>1.06E-2</v>
      </c>
      <c r="CU33" s="17" t="s">
        <v>78</v>
      </c>
      <c r="CV33" s="69" t="s">
        <v>78</v>
      </c>
      <c r="CW33" s="17" t="s">
        <v>78</v>
      </c>
      <c r="CX33" s="17" t="s">
        <v>78</v>
      </c>
      <c r="CY33" s="69">
        <f t="shared" si="13"/>
        <v>1.39E-3</v>
      </c>
      <c r="CZ33" s="69" t="s">
        <v>78</v>
      </c>
      <c r="DA33" s="17">
        <f t="shared" si="13"/>
        <v>5.5899999999999998E-2</v>
      </c>
      <c r="DB33" s="17" t="s">
        <v>78</v>
      </c>
      <c r="DC33" s="17" t="s">
        <v>78</v>
      </c>
      <c r="DD33" s="17">
        <f t="shared" si="13"/>
        <v>6.7599999999999993E-2</v>
      </c>
      <c r="DE33" s="17">
        <f t="shared" si="13"/>
        <v>0.98199999999999998</v>
      </c>
      <c r="DF33" s="17" t="s">
        <v>78</v>
      </c>
      <c r="DG33" s="17">
        <f t="shared" ref="DG33:DN33" si="16">MAX(DG30:DG32)</f>
        <v>5.3800000000000001E-2</v>
      </c>
      <c r="DH33" s="69">
        <f t="shared" si="16"/>
        <v>0.113</v>
      </c>
      <c r="DI33" s="69" t="s">
        <v>78</v>
      </c>
      <c r="DJ33" s="312" t="s">
        <v>78</v>
      </c>
      <c r="DK33" s="312" t="s">
        <v>78</v>
      </c>
      <c r="DL33" s="17">
        <f t="shared" si="16"/>
        <v>2.52E-2</v>
      </c>
      <c r="DM33" s="17" t="s">
        <v>78</v>
      </c>
      <c r="DN33" s="17">
        <f t="shared" si="16"/>
        <v>0.27300000000000002</v>
      </c>
      <c r="DO33" s="17" t="s">
        <v>78</v>
      </c>
      <c r="DP33" s="52" t="s">
        <v>78</v>
      </c>
      <c r="DQ33" s="14"/>
      <c r="DR33" s="8"/>
      <c r="DS33" s="8"/>
      <c r="DT33" s="8"/>
      <c r="DU33" s="8"/>
      <c r="DV33" s="8"/>
      <c r="DW33" s="8"/>
      <c r="DX33" s="8"/>
      <c r="DY33" s="8"/>
      <c r="DZ33" s="8"/>
      <c r="EA33" s="8"/>
      <c r="EB33" s="8"/>
    </row>
    <row r="34" spans="2:132" ht="15" thickBot="1" x14ac:dyDescent="0.4">
      <c r="B34" s="126"/>
      <c r="C34" s="282"/>
      <c r="D34" s="9"/>
      <c r="E34" s="50"/>
      <c r="F34" s="210"/>
      <c r="G34" s="314"/>
      <c r="H34" s="528"/>
      <c r="I34" s="97"/>
      <c r="J34" s="97"/>
      <c r="K34" s="24"/>
      <c r="L34" s="97"/>
      <c r="M34" s="24"/>
      <c r="N34" s="24"/>
      <c r="O34" s="24"/>
      <c r="P34" s="97"/>
      <c r="Q34" s="32"/>
      <c r="R34" s="24"/>
      <c r="S34" s="24"/>
      <c r="T34" s="24"/>
      <c r="U34" s="24"/>
      <c r="V34" s="97"/>
      <c r="W34" s="24"/>
      <c r="X34" s="97"/>
      <c r="Y34" s="24"/>
      <c r="Z34" s="24"/>
      <c r="AA34" s="24"/>
      <c r="AB34" s="24"/>
      <c r="AC34" s="113"/>
      <c r="AD34" s="154"/>
      <c r="AE34" s="96"/>
      <c r="AF34" s="8"/>
      <c r="AG34" s="96"/>
      <c r="AH34" s="8"/>
      <c r="AI34" s="8"/>
      <c r="AJ34" s="8"/>
      <c r="AK34" s="96"/>
      <c r="AL34" s="8"/>
      <c r="AM34" s="8"/>
      <c r="AN34" s="8"/>
      <c r="AO34" s="8"/>
      <c r="AP34" s="96"/>
      <c r="AQ34" s="96"/>
      <c r="AR34" s="8"/>
      <c r="AS34" s="8"/>
      <c r="AT34" s="8"/>
      <c r="AU34" s="8"/>
      <c r="AV34" s="8"/>
      <c r="AW34" s="8"/>
      <c r="AX34" s="8"/>
      <c r="AY34" s="8"/>
      <c r="AZ34" s="96"/>
      <c r="BA34" s="8"/>
      <c r="BB34" s="8"/>
      <c r="BC34" s="96"/>
      <c r="BD34" s="96"/>
      <c r="BG34" s="8"/>
      <c r="BH34" s="8"/>
      <c r="BI34" s="8"/>
      <c r="BJ34" s="8"/>
      <c r="BK34" s="96"/>
      <c r="BL34" s="96"/>
      <c r="BM34" s="8"/>
      <c r="BN34" s="8"/>
      <c r="BO34" s="8"/>
      <c r="BP34" s="8"/>
      <c r="BQ34" s="8"/>
      <c r="BR34" s="8"/>
      <c r="BS34" s="8"/>
      <c r="BT34" s="8"/>
      <c r="BU34" s="8"/>
      <c r="BV34" s="8"/>
      <c r="BW34" s="8"/>
      <c r="BX34" s="8"/>
      <c r="BY34" s="8"/>
      <c r="BZ34" s="8"/>
      <c r="CA34" s="8"/>
      <c r="CB34" s="8"/>
      <c r="CC34" s="8"/>
      <c r="CD34" s="8"/>
      <c r="CE34" s="96"/>
      <c r="CF34" s="8"/>
      <c r="CG34" s="8"/>
      <c r="CH34" s="8"/>
      <c r="CI34" s="8"/>
      <c r="CJ34" s="96"/>
      <c r="CK34" s="8"/>
      <c r="CL34" s="8"/>
      <c r="CM34" s="8"/>
      <c r="CN34" s="8"/>
      <c r="CO34" s="8"/>
      <c r="CP34" s="8"/>
      <c r="CQ34" s="8"/>
      <c r="CR34" s="8"/>
      <c r="CS34" s="96"/>
      <c r="CT34" s="96"/>
      <c r="CV34" s="96"/>
      <c r="CW34" s="8"/>
      <c r="CX34" s="8"/>
      <c r="CY34" s="96"/>
      <c r="CZ34" s="96"/>
      <c r="DA34" s="8"/>
      <c r="DB34" s="8"/>
      <c r="DC34" s="8"/>
      <c r="DD34" s="8"/>
      <c r="DE34" s="8"/>
      <c r="DF34" s="8"/>
      <c r="DG34" s="8"/>
      <c r="DH34" s="96"/>
      <c r="DI34" s="96"/>
      <c r="DL34" s="8"/>
      <c r="DM34" s="8"/>
      <c r="DN34" s="8"/>
      <c r="DO34" s="17"/>
      <c r="DP34" s="52"/>
      <c r="DQ34" s="14"/>
      <c r="DR34" s="8"/>
      <c r="DS34" s="8"/>
      <c r="DT34" s="8"/>
      <c r="DU34" s="8"/>
      <c r="DV34" s="8"/>
      <c r="DW34" s="8"/>
      <c r="DX34" s="8"/>
      <c r="DY34" s="8"/>
      <c r="DZ34" s="8"/>
      <c r="EA34" s="8"/>
      <c r="EB34" s="8"/>
    </row>
    <row r="35" spans="2:132" x14ac:dyDescent="0.35">
      <c r="B35" s="117"/>
      <c r="C35" s="280" t="s">
        <v>174</v>
      </c>
      <c r="D35" s="13"/>
      <c r="E35" s="88"/>
      <c r="F35" s="83"/>
      <c r="G35" s="55"/>
      <c r="H35" s="530"/>
      <c r="I35" s="84"/>
      <c r="J35" s="84"/>
      <c r="K35" s="85"/>
      <c r="L35" s="84"/>
      <c r="M35" s="85"/>
      <c r="N35" s="85"/>
      <c r="O35" s="85"/>
      <c r="P35" s="84"/>
      <c r="Q35" s="59"/>
      <c r="R35" s="85"/>
      <c r="S35" s="85"/>
      <c r="T35" s="85"/>
      <c r="U35" s="85"/>
      <c r="V35" s="84"/>
      <c r="W35" s="85"/>
      <c r="X35" s="84"/>
      <c r="Y35" s="85"/>
      <c r="Z35" s="85"/>
      <c r="AA35" s="85"/>
      <c r="AB35" s="85"/>
      <c r="AC35" s="86"/>
      <c r="AD35" s="150"/>
      <c r="AE35" s="71"/>
      <c r="AF35" s="19"/>
      <c r="AG35" s="71"/>
      <c r="AH35" s="19"/>
      <c r="AI35" s="19"/>
      <c r="AJ35" s="19"/>
      <c r="AK35" s="71"/>
      <c r="AL35" s="19"/>
      <c r="AM35" s="19"/>
      <c r="AN35" s="19"/>
      <c r="AO35" s="19"/>
      <c r="AP35" s="71"/>
      <c r="AQ35" s="71"/>
      <c r="AR35" s="19"/>
      <c r="AS35" s="19"/>
      <c r="AT35" s="19"/>
      <c r="AU35" s="19"/>
      <c r="AV35" s="19"/>
      <c r="AW35" s="19"/>
      <c r="AX35" s="19"/>
      <c r="AY35" s="19"/>
      <c r="AZ35" s="71"/>
      <c r="BA35" s="19"/>
      <c r="BB35" s="19"/>
      <c r="BC35" s="71"/>
      <c r="BD35" s="71"/>
      <c r="BE35" s="19"/>
      <c r="BF35" s="19"/>
      <c r="BG35" s="19"/>
      <c r="BH35" s="19"/>
      <c r="BI35" s="19"/>
      <c r="BJ35" s="19"/>
      <c r="BK35" s="71"/>
      <c r="BL35" s="71"/>
      <c r="BM35" s="19"/>
      <c r="BN35" s="19"/>
      <c r="BO35" s="19"/>
      <c r="BP35" s="19"/>
      <c r="BQ35" s="19"/>
      <c r="BR35" s="19"/>
      <c r="BS35" s="19"/>
      <c r="BT35" s="19"/>
      <c r="BU35" s="19"/>
      <c r="BV35" s="19"/>
      <c r="BW35" s="19"/>
      <c r="BX35" s="19"/>
      <c r="BY35" s="19"/>
      <c r="BZ35" s="19"/>
      <c r="CA35" s="19"/>
      <c r="CB35" s="19"/>
      <c r="CC35" s="19"/>
      <c r="CD35" s="19"/>
      <c r="CE35" s="71"/>
      <c r="CF35" s="19"/>
      <c r="CG35" s="19"/>
      <c r="CH35" s="19"/>
      <c r="CI35" s="19"/>
      <c r="CJ35" s="71"/>
      <c r="CK35" s="19"/>
      <c r="CL35" s="19"/>
      <c r="CM35" s="19"/>
      <c r="CN35" s="19"/>
      <c r="CO35" s="19"/>
      <c r="CP35" s="19"/>
      <c r="CQ35" s="19"/>
      <c r="CR35" s="19"/>
      <c r="CS35" s="71"/>
      <c r="CT35" s="71"/>
      <c r="CU35" s="19"/>
      <c r="CV35" s="71"/>
      <c r="CW35" s="19"/>
      <c r="CX35" s="19"/>
      <c r="CY35" s="71"/>
      <c r="CZ35" s="71"/>
      <c r="DA35" s="19"/>
      <c r="DB35" s="19"/>
      <c r="DC35" s="19"/>
      <c r="DD35" s="19"/>
      <c r="DE35" s="19"/>
      <c r="DF35" s="19"/>
      <c r="DG35" s="19"/>
      <c r="DH35" s="71"/>
      <c r="DI35" s="71"/>
      <c r="DJ35" s="19"/>
      <c r="DK35" s="19"/>
      <c r="DL35" s="19"/>
      <c r="DM35" s="19"/>
      <c r="DN35" s="19"/>
      <c r="DO35" s="57"/>
      <c r="DP35" s="320"/>
      <c r="DQ35" s="14"/>
      <c r="DR35" s="8"/>
      <c r="DS35" s="8"/>
      <c r="DT35" s="8"/>
      <c r="DU35" s="8"/>
      <c r="DV35" s="8"/>
      <c r="DW35" s="8"/>
      <c r="DX35" s="8"/>
      <c r="DY35" s="8"/>
      <c r="DZ35" s="8"/>
      <c r="EA35" s="8"/>
      <c r="EB35" s="8"/>
    </row>
    <row r="36" spans="2:132" x14ac:dyDescent="0.35">
      <c r="B36" s="126"/>
      <c r="C36" s="282"/>
      <c r="D36" s="9"/>
      <c r="E36" s="119" t="s">
        <v>105</v>
      </c>
      <c r="F36" s="210"/>
      <c r="G36" s="314"/>
      <c r="H36" s="528"/>
      <c r="I36" s="97"/>
      <c r="J36" s="97"/>
      <c r="K36" s="24"/>
      <c r="L36" s="97"/>
      <c r="M36" s="24"/>
      <c r="N36" s="24"/>
      <c r="O36" s="24"/>
      <c r="P36" s="97"/>
      <c r="Q36" s="32"/>
      <c r="R36" s="24"/>
      <c r="S36" s="24"/>
      <c r="T36" s="24"/>
      <c r="U36" s="24"/>
      <c r="V36" s="97"/>
      <c r="W36" s="24"/>
      <c r="X36" s="69"/>
      <c r="Y36" s="24"/>
      <c r="Z36" s="24"/>
      <c r="AA36" s="24"/>
      <c r="AB36" s="24"/>
      <c r="AC36" s="113"/>
      <c r="AD36" s="154"/>
      <c r="AE36" s="96"/>
      <c r="AF36" s="8"/>
      <c r="AG36" s="96"/>
      <c r="AH36" s="8"/>
      <c r="AI36" s="17"/>
      <c r="AJ36" s="8"/>
      <c r="AK36" s="96"/>
      <c r="AL36" s="8"/>
      <c r="AM36" s="8"/>
      <c r="AN36" s="8"/>
      <c r="AO36" s="8"/>
      <c r="AP36" s="96"/>
      <c r="AQ36" s="96"/>
      <c r="AR36" s="8"/>
      <c r="AS36" s="8"/>
      <c r="AT36" s="8"/>
      <c r="AU36" s="8"/>
      <c r="AV36" s="8"/>
      <c r="AW36" s="8"/>
      <c r="AX36" s="8"/>
      <c r="AY36" s="8"/>
      <c r="AZ36" s="96"/>
      <c r="BA36" s="8"/>
      <c r="BB36" s="17"/>
      <c r="BC36" s="96"/>
      <c r="BD36" s="96"/>
      <c r="BF36" s="17"/>
      <c r="BG36" s="8"/>
      <c r="BH36" s="8"/>
      <c r="BI36" s="8"/>
      <c r="BJ36" s="8"/>
      <c r="BK36" s="96"/>
      <c r="BL36" s="96"/>
      <c r="BM36" s="8"/>
      <c r="BN36" s="17"/>
      <c r="BO36" s="17"/>
      <c r="BP36" s="17"/>
      <c r="BQ36" s="17"/>
      <c r="BR36" s="17"/>
      <c r="BS36" s="17"/>
      <c r="BT36" s="17"/>
      <c r="BU36" s="17"/>
      <c r="BV36" s="17"/>
      <c r="BW36" s="17"/>
      <c r="BX36" s="8"/>
      <c r="BY36" s="8"/>
      <c r="BZ36" s="17"/>
      <c r="CA36" s="17"/>
      <c r="CB36" s="8"/>
      <c r="CC36" s="8"/>
      <c r="CD36" s="8"/>
      <c r="CE36" s="96"/>
      <c r="CF36" s="8"/>
      <c r="CG36" s="8"/>
      <c r="CH36" s="8"/>
      <c r="CI36" s="8"/>
      <c r="CJ36" s="96"/>
      <c r="CK36" s="8"/>
      <c r="CL36" s="8"/>
      <c r="CM36" s="8"/>
      <c r="CN36" s="8"/>
      <c r="CO36" s="8"/>
      <c r="CP36" s="8"/>
      <c r="CQ36" s="8"/>
      <c r="CR36" s="8"/>
      <c r="CS36" s="96"/>
      <c r="CT36" s="96"/>
      <c r="CV36" s="96"/>
      <c r="CW36" s="8"/>
      <c r="CX36" s="8"/>
      <c r="CY36" s="96"/>
      <c r="CZ36" s="96"/>
      <c r="DA36" s="8"/>
      <c r="DB36" s="8"/>
      <c r="DC36" s="8"/>
      <c r="DD36" s="8"/>
      <c r="DE36" s="8"/>
      <c r="DF36" s="8"/>
      <c r="DG36" s="8"/>
      <c r="DH36" s="96"/>
      <c r="DI36" s="96"/>
      <c r="DL36" s="8"/>
      <c r="DM36" s="8"/>
      <c r="DN36" s="8"/>
      <c r="DO36" s="17"/>
      <c r="DP36" s="52"/>
      <c r="DQ36" s="14"/>
      <c r="DR36" s="8"/>
      <c r="DS36" s="8"/>
      <c r="DT36" s="8"/>
      <c r="DU36" s="8"/>
      <c r="DV36" s="8"/>
      <c r="DW36" s="8"/>
      <c r="DX36" s="8"/>
      <c r="DY36" s="8"/>
      <c r="DZ36" s="8"/>
      <c r="EA36" s="8"/>
      <c r="EB36" s="8"/>
    </row>
    <row r="37" spans="2:132" ht="16.5" x14ac:dyDescent="0.35">
      <c r="B37" s="126"/>
      <c r="C37" s="282"/>
      <c r="D37" s="9">
        <v>20200301</v>
      </c>
      <c r="E37" s="107" t="s">
        <v>106</v>
      </c>
      <c r="F37" s="54" t="s">
        <v>361</v>
      </c>
      <c r="G37" s="314" t="s">
        <v>145</v>
      </c>
      <c r="H37" s="548" t="s">
        <v>456</v>
      </c>
      <c r="I37" s="69" t="s">
        <v>78</v>
      </c>
      <c r="J37" s="69" t="s">
        <v>78</v>
      </c>
      <c r="K37" s="17" t="s">
        <v>78</v>
      </c>
      <c r="L37" s="69" t="s">
        <v>78</v>
      </c>
      <c r="M37" s="17" t="s">
        <v>78</v>
      </c>
      <c r="N37" s="17" t="s">
        <v>78</v>
      </c>
      <c r="O37" s="17" t="s">
        <v>78</v>
      </c>
      <c r="P37" s="69" t="s">
        <v>78</v>
      </c>
      <c r="Q37" s="138" t="s">
        <v>78</v>
      </c>
      <c r="R37" s="17">
        <v>3.3E-3</v>
      </c>
      <c r="S37" s="17" t="s">
        <v>78</v>
      </c>
      <c r="T37" s="17">
        <v>3.3E-3</v>
      </c>
      <c r="U37" s="17" t="s">
        <v>78</v>
      </c>
      <c r="V37" s="69" t="s">
        <v>78</v>
      </c>
      <c r="W37" s="17">
        <v>3.3E-3</v>
      </c>
      <c r="X37" s="69" t="s">
        <v>78</v>
      </c>
      <c r="Y37" s="17" t="s">
        <v>78</v>
      </c>
      <c r="Z37" s="17" t="s">
        <v>78</v>
      </c>
      <c r="AA37" s="17" t="s">
        <v>78</v>
      </c>
      <c r="AB37" s="17" t="s">
        <v>78</v>
      </c>
      <c r="AC37" s="77" t="s">
        <v>78</v>
      </c>
      <c r="AD37" s="151" t="s">
        <v>78</v>
      </c>
      <c r="AE37" s="69" t="s">
        <v>78</v>
      </c>
      <c r="AF37" s="17">
        <v>0.82979999999999998</v>
      </c>
      <c r="AG37" s="69" t="s">
        <v>78</v>
      </c>
      <c r="AH37" s="17">
        <v>0.19919999999999999</v>
      </c>
      <c r="AI37" s="17" t="s">
        <v>78</v>
      </c>
      <c r="AJ37" s="17" t="s">
        <v>78</v>
      </c>
      <c r="AK37" s="69" t="s">
        <v>78</v>
      </c>
      <c r="AL37" s="17" t="s">
        <v>78</v>
      </c>
      <c r="AM37" s="17">
        <v>3.8060999999999998</v>
      </c>
      <c r="AN37" s="17" t="s">
        <v>78</v>
      </c>
      <c r="AO37" s="17" t="s">
        <v>78</v>
      </c>
      <c r="AP37" s="69" t="s">
        <v>78</v>
      </c>
      <c r="AQ37" s="69" t="s">
        <v>78</v>
      </c>
      <c r="AR37" s="17" t="s">
        <v>78</v>
      </c>
      <c r="AS37" s="60">
        <v>0.91830000000000001</v>
      </c>
      <c r="AT37" s="17" t="s">
        <v>78</v>
      </c>
      <c r="AU37" s="17" t="s">
        <v>78</v>
      </c>
      <c r="AV37" s="60">
        <v>0.45500000000000002</v>
      </c>
      <c r="AW37" s="17" t="s">
        <v>78</v>
      </c>
      <c r="AX37" s="17" t="s">
        <v>78</v>
      </c>
      <c r="AY37" s="17" t="s">
        <v>78</v>
      </c>
      <c r="AZ37" s="69" t="s">
        <v>78</v>
      </c>
      <c r="BA37" s="17" t="s">
        <v>78</v>
      </c>
      <c r="BB37" s="17" t="s">
        <v>78</v>
      </c>
      <c r="BC37" s="69" t="s">
        <v>78</v>
      </c>
      <c r="BD37" s="69" t="s">
        <v>78</v>
      </c>
      <c r="BE37" s="17" t="s">
        <v>78</v>
      </c>
      <c r="BF37" s="17" t="s">
        <v>78</v>
      </c>
      <c r="BG37" s="17">
        <v>1.6596</v>
      </c>
      <c r="BH37" s="17" t="s">
        <v>78</v>
      </c>
      <c r="BI37" s="17" t="s">
        <v>78</v>
      </c>
      <c r="BJ37" s="17" t="s">
        <v>78</v>
      </c>
      <c r="BK37" s="69" t="s">
        <v>78</v>
      </c>
      <c r="BL37" s="69" t="s">
        <v>78</v>
      </c>
      <c r="BM37" s="60">
        <v>3.452</v>
      </c>
      <c r="BN37" s="17" t="s">
        <v>78</v>
      </c>
      <c r="BO37" s="17" t="s">
        <v>78</v>
      </c>
      <c r="BP37" s="17" t="s">
        <v>78</v>
      </c>
      <c r="BQ37" s="17" t="s">
        <v>78</v>
      </c>
      <c r="BR37" s="17" t="s">
        <v>78</v>
      </c>
      <c r="BS37" s="17" t="s">
        <v>78</v>
      </c>
      <c r="BT37" s="17" t="s">
        <v>78</v>
      </c>
      <c r="BU37" s="17" t="s">
        <v>78</v>
      </c>
      <c r="BV37" s="17" t="s">
        <v>78</v>
      </c>
      <c r="BW37" s="17" t="s">
        <v>78</v>
      </c>
      <c r="BX37" s="17">
        <v>1.4494</v>
      </c>
      <c r="BY37" s="17" t="s">
        <v>78</v>
      </c>
      <c r="BZ37" s="17" t="s">
        <v>78</v>
      </c>
      <c r="CA37" s="17" t="s">
        <v>78</v>
      </c>
      <c r="CB37" s="17" t="s">
        <v>78</v>
      </c>
      <c r="CC37" s="17">
        <v>0.77449999999999997</v>
      </c>
      <c r="CD37" s="17" t="s">
        <v>78</v>
      </c>
      <c r="CE37" s="69" t="s">
        <v>78</v>
      </c>
      <c r="CF37" s="17" t="s">
        <v>78</v>
      </c>
      <c r="CG37" s="17">
        <v>6.6400000000000001E-2</v>
      </c>
      <c r="CH37" s="17">
        <v>2.0579000000000001</v>
      </c>
      <c r="CI37" s="17" t="s">
        <v>78</v>
      </c>
      <c r="CJ37" s="69" t="s">
        <v>78</v>
      </c>
      <c r="CK37" s="17">
        <v>0.14380000000000001</v>
      </c>
      <c r="CL37" s="17" t="s">
        <v>78</v>
      </c>
      <c r="CM37" s="17" t="s">
        <v>78</v>
      </c>
      <c r="CN37" s="17" t="s">
        <v>78</v>
      </c>
      <c r="CO37" s="17" t="s">
        <v>78</v>
      </c>
      <c r="CP37" s="17" t="s">
        <v>78</v>
      </c>
      <c r="CQ37" s="17" t="s">
        <v>78</v>
      </c>
      <c r="CR37" s="17" t="s">
        <v>78</v>
      </c>
      <c r="CS37" s="69" t="s">
        <v>78</v>
      </c>
      <c r="CT37" s="69" t="s">
        <v>78</v>
      </c>
      <c r="CU37" s="17" t="s">
        <v>78</v>
      </c>
      <c r="CV37" s="69" t="s">
        <v>78</v>
      </c>
      <c r="CW37" s="17" t="s">
        <v>78</v>
      </c>
      <c r="CX37" s="17" t="s">
        <v>78</v>
      </c>
      <c r="CY37" s="69" t="s">
        <v>78</v>
      </c>
      <c r="CZ37" s="69" t="s">
        <v>78</v>
      </c>
      <c r="DA37" s="17">
        <v>0.14380000000000001</v>
      </c>
      <c r="DB37" s="17" t="s">
        <v>78</v>
      </c>
      <c r="DC37" s="17" t="s">
        <v>78</v>
      </c>
      <c r="DD37" s="17" t="s">
        <v>78</v>
      </c>
      <c r="DE37" s="17">
        <v>7.5125000000000002</v>
      </c>
      <c r="DF37" s="17" t="s">
        <v>78</v>
      </c>
      <c r="DG37" s="17" t="s">
        <v>78</v>
      </c>
      <c r="DH37" s="69">
        <v>1.3940999999999999</v>
      </c>
      <c r="DI37" s="69" t="s">
        <v>78</v>
      </c>
      <c r="DJ37" s="17" t="s">
        <v>78</v>
      </c>
      <c r="DK37" s="17" t="s">
        <v>78</v>
      </c>
      <c r="DL37" s="17" t="s">
        <v>78</v>
      </c>
      <c r="DM37" s="17" t="s">
        <v>78</v>
      </c>
      <c r="DN37" s="17" t="s">
        <v>78</v>
      </c>
      <c r="DO37" s="17">
        <v>4.9234999999999998</v>
      </c>
      <c r="DP37" s="52">
        <v>1.7149000000000001</v>
      </c>
      <c r="DQ37" s="14"/>
      <c r="DR37" s="8"/>
      <c r="DS37" s="8"/>
      <c r="DT37" s="8"/>
      <c r="DU37" s="8"/>
      <c r="DV37" s="8"/>
      <c r="DW37" s="8"/>
      <c r="DX37" s="8"/>
      <c r="DY37" s="8"/>
      <c r="DZ37" s="8"/>
      <c r="EA37" s="8"/>
      <c r="EB37" s="8"/>
    </row>
    <row r="38" spans="2:132" ht="16.5" x14ac:dyDescent="0.35">
      <c r="B38" s="126"/>
      <c r="C38" s="282"/>
      <c r="D38" s="9">
        <v>20200301</v>
      </c>
      <c r="E38" s="107" t="s">
        <v>107</v>
      </c>
      <c r="F38" s="54" t="s">
        <v>361</v>
      </c>
      <c r="G38" s="314" t="s">
        <v>145</v>
      </c>
      <c r="H38" s="548" t="s">
        <v>456</v>
      </c>
      <c r="I38" s="69" t="s">
        <v>78</v>
      </c>
      <c r="J38" s="69" t="s">
        <v>78</v>
      </c>
      <c r="K38" s="17" t="s">
        <v>78</v>
      </c>
      <c r="L38" s="69" t="s">
        <v>78</v>
      </c>
      <c r="M38" s="17" t="s">
        <v>78</v>
      </c>
      <c r="N38" s="17" t="s">
        <v>78</v>
      </c>
      <c r="O38" s="17" t="s">
        <v>78</v>
      </c>
      <c r="P38" s="69" t="s">
        <v>78</v>
      </c>
      <c r="Q38" s="138" t="s">
        <v>78</v>
      </c>
      <c r="R38" s="17">
        <v>3.3E-3</v>
      </c>
      <c r="S38" s="17" t="s">
        <v>78</v>
      </c>
      <c r="T38" s="17">
        <v>3.3E-3</v>
      </c>
      <c r="U38" s="17" t="s">
        <v>78</v>
      </c>
      <c r="V38" s="69" t="s">
        <v>78</v>
      </c>
      <c r="W38" s="17">
        <v>3.3E-3</v>
      </c>
      <c r="X38" s="69" t="s">
        <v>78</v>
      </c>
      <c r="Y38" s="17" t="s">
        <v>78</v>
      </c>
      <c r="Z38" s="17" t="s">
        <v>78</v>
      </c>
      <c r="AA38" s="17" t="s">
        <v>78</v>
      </c>
      <c r="AB38" s="17" t="s">
        <v>78</v>
      </c>
      <c r="AC38" s="77" t="s">
        <v>78</v>
      </c>
      <c r="AD38" s="151" t="s">
        <v>78</v>
      </c>
      <c r="AE38" s="69" t="s">
        <v>78</v>
      </c>
      <c r="AF38" s="17">
        <v>0.14729999999999999</v>
      </c>
      <c r="AG38" s="69" t="s">
        <v>78</v>
      </c>
      <c r="AH38" s="17">
        <v>8.2500000000000004E-2</v>
      </c>
      <c r="AI38" s="17" t="s">
        <v>78</v>
      </c>
      <c r="AJ38" s="17" t="s">
        <v>78</v>
      </c>
      <c r="AK38" s="69" t="s">
        <v>78</v>
      </c>
      <c r="AL38" s="17" t="s">
        <v>78</v>
      </c>
      <c r="AM38" s="17">
        <v>1.5726</v>
      </c>
      <c r="AN38" s="17" t="s">
        <v>78</v>
      </c>
      <c r="AO38" s="17" t="s">
        <v>78</v>
      </c>
      <c r="AP38" s="69" t="s">
        <v>78</v>
      </c>
      <c r="AQ38" s="69" t="s">
        <v>78</v>
      </c>
      <c r="AR38" s="17" t="s">
        <v>78</v>
      </c>
      <c r="AS38" s="60">
        <v>0.32400000000000001</v>
      </c>
      <c r="AT38" s="17" t="s">
        <v>78</v>
      </c>
      <c r="AU38" s="17" t="s">
        <v>78</v>
      </c>
      <c r="AV38" s="60">
        <v>0.45500000000000002</v>
      </c>
      <c r="AW38" s="17" t="s">
        <v>78</v>
      </c>
      <c r="AX38" s="17" t="s">
        <v>78</v>
      </c>
      <c r="AY38" s="17" t="s">
        <v>78</v>
      </c>
      <c r="AZ38" s="69" t="s">
        <v>78</v>
      </c>
      <c r="BA38" s="17" t="s">
        <v>78</v>
      </c>
      <c r="BB38" s="17" t="s">
        <v>78</v>
      </c>
      <c r="BC38" s="69" t="s">
        <v>78</v>
      </c>
      <c r="BD38" s="69" t="s">
        <v>78</v>
      </c>
      <c r="BE38" s="17" t="s">
        <v>78</v>
      </c>
      <c r="BF38" s="17" t="s">
        <v>78</v>
      </c>
      <c r="BG38" s="60">
        <v>0.64200000000000002</v>
      </c>
      <c r="BH38" s="17" t="s">
        <v>78</v>
      </c>
      <c r="BI38" s="17" t="s">
        <v>78</v>
      </c>
      <c r="BJ38" s="17" t="s">
        <v>78</v>
      </c>
      <c r="BK38" s="69" t="s">
        <v>78</v>
      </c>
      <c r="BL38" s="69" t="s">
        <v>78</v>
      </c>
      <c r="BM38" s="60">
        <v>1.0130999999999999</v>
      </c>
      <c r="BN38" s="17" t="s">
        <v>78</v>
      </c>
      <c r="BO38" s="17" t="s">
        <v>78</v>
      </c>
      <c r="BP38" s="17" t="s">
        <v>78</v>
      </c>
      <c r="BQ38" s="17" t="s">
        <v>78</v>
      </c>
      <c r="BR38" s="17" t="s">
        <v>78</v>
      </c>
      <c r="BS38" s="17" t="s">
        <v>78</v>
      </c>
      <c r="BT38" s="17" t="s">
        <v>78</v>
      </c>
      <c r="BU38" s="17" t="s">
        <v>78</v>
      </c>
      <c r="BV38" s="17" t="s">
        <v>78</v>
      </c>
      <c r="BW38" s="17" t="s">
        <v>78</v>
      </c>
      <c r="BX38" s="17">
        <v>0.94240000000000002</v>
      </c>
      <c r="BY38" s="17" t="s">
        <v>78</v>
      </c>
      <c r="BZ38" s="17" t="s">
        <v>78</v>
      </c>
      <c r="CA38" s="17" t="s">
        <v>78</v>
      </c>
      <c r="CB38" s="17" t="s">
        <v>78</v>
      </c>
      <c r="CC38" s="17">
        <v>0.24149999999999999</v>
      </c>
      <c r="CD38" s="17" t="s">
        <v>78</v>
      </c>
      <c r="CE38" s="69" t="s">
        <v>78</v>
      </c>
      <c r="CF38" s="17" t="s">
        <v>78</v>
      </c>
      <c r="CG38" s="17">
        <v>1.18E-2</v>
      </c>
      <c r="CH38" s="17">
        <v>1.1544000000000001</v>
      </c>
      <c r="CI38" s="17" t="s">
        <v>78</v>
      </c>
      <c r="CJ38" s="69" t="s">
        <v>78</v>
      </c>
      <c r="CK38" s="17">
        <v>2.9499999999999998E-2</v>
      </c>
      <c r="CL38" s="17" t="s">
        <v>78</v>
      </c>
      <c r="CM38" s="17" t="s">
        <v>78</v>
      </c>
      <c r="CN38" s="17" t="s">
        <v>78</v>
      </c>
      <c r="CO38" s="17" t="s">
        <v>78</v>
      </c>
      <c r="CP38" s="17" t="s">
        <v>78</v>
      </c>
      <c r="CQ38" s="17" t="s">
        <v>78</v>
      </c>
      <c r="CR38" s="17" t="s">
        <v>78</v>
      </c>
      <c r="CS38" s="69" t="s">
        <v>78</v>
      </c>
      <c r="CT38" s="69" t="s">
        <v>78</v>
      </c>
      <c r="CU38" s="17" t="s">
        <v>78</v>
      </c>
      <c r="CV38" s="69" t="s">
        <v>78</v>
      </c>
      <c r="CW38" s="17" t="s">
        <v>78</v>
      </c>
      <c r="CX38" s="17" t="s">
        <v>78</v>
      </c>
      <c r="CY38" s="69" t="s">
        <v>78</v>
      </c>
      <c r="CZ38" s="69" t="s">
        <v>78</v>
      </c>
      <c r="DA38" s="17">
        <v>7.0699999999999999E-2</v>
      </c>
      <c r="DB38" s="17" t="s">
        <v>78</v>
      </c>
      <c r="DC38" s="17" t="s">
        <v>78</v>
      </c>
      <c r="DD38" s="17" t="s">
        <v>78</v>
      </c>
      <c r="DE38" s="17">
        <v>3.5045999999999999</v>
      </c>
      <c r="DF38" s="17" t="s">
        <v>78</v>
      </c>
      <c r="DG38" s="17" t="s">
        <v>78</v>
      </c>
      <c r="DH38" s="98">
        <v>0.58899999999999997</v>
      </c>
      <c r="DI38" s="69" t="s">
        <v>78</v>
      </c>
      <c r="DJ38" s="17" t="s">
        <v>78</v>
      </c>
      <c r="DK38" s="17" t="s">
        <v>78</v>
      </c>
      <c r="DL38" s="17" t="s">
        <v>78</v>
      </c>
      <c r="DM38" s="17" t="s">
        <v>78</v>
      </c>
      <c r="DN38" s="17" t="s">
        <v>78</v>
      </c>
      <c r="DO38" s="17">
        <v>2.1734</v>
      </c>
      <c r="DP38" s="52">
        <v>0.75390000000000001</v>
      </c>
      <c r="DQ38" s="14"/>
      <c r="DR38" s="8"/>
      <c r="DS38" s="8"/>
      <c r="DT38" s="8"/>
      <c r="DU38" s="8"/>
      <c r="DV38" s="8"/>
      <c r="DW38" s="8"/>
      <c r="DX38" s="8"/>
      <c r="DY38" s="8"/>
      <c r="DZ38" s="8"/>
      <c r="EA38" s="8"/>
      <c r="EB38" s="8"/>
    </row>
    <row r="39" spans="2:132" ht="16.5" x14ac:dyDescent="0.35">
      <c r="B39" s="126"/>
      <c r="C39" s="282"/>
      <c r="D39" s="9">
        <v>20200301</v>
      </c>
      <c r="E39" s="107" t="s">
        <v>108</v>
      </c>
      <c r="F39" s="54" t="s">
        <v>361</v>
      </c>
      <c r="G39" s="314" t="s">
        <v>145</v>
      </c>
      <c r="H39" s="548" t="s">
        <v>456</v>
      </c>
      <c r="I39" s="69" t="s">
        <v>78</v>
      </c>
      <c r="J39" s="69" t="s">
        <v>78</v>
      </c>
      <c r="K39" s="17" t="s">
        <v>78</v>
      </c>
      <c r="L39" s="69" t="s">
        <v>78</v>
      </c>
      <c r="M39" s="17" t="s">
        <v>78</v>
      </c>
      <c r="N39" s="17" t="s">
        <v>78</v>
      </c>
      <c r="O39" s="17" t="s">
        <v>78</v>
      </c>
      <c r="P39" s="69" t="s">
        <v>78</v>
      </c>
      <c r="Q39" s="138" t="s">
        <v>78</v>
      </c>
      <c r="R39" s="17">
        <v>3.3E-3</v>
      </c>
      <c r="S39" s="17" t="s">
        <v>78</v>
      </c>
      <c r="T39" s="17">
        <v>3.3E-3</v>
      </c>
      <c r="U39" s="17" t="s">
        <v>78</v>
      </c>
      <c r="V39" s="69" t="s">
        <v>78</v>
      </c>
      <c r="W39" s="17">
        <v>3.3E-3</v>
      </c>
      <c r="X39" s="69" t="s">
        <v>78</v>
      </c>
      <c r="Y39" s="17" t="s">
        <v>78</v>
      </c>
      <c r="Z39" s="17" t="s">
        <v>78</v>
      </c>
      <c r="AA39" s="17" t="s">
        <v>78</v>
      </c>
      <c r="AB39" s="17" t="s">
        <v>78</v>
      </c>
      <c r="AC39" s="77" t="s">
        <v>78</v>
      </c>
      <c r="AD39" s="151" t="s">
        <v>78</v>
      </c>
      <c r="AE39" s="69" t="s">
        <v>78</v>
      </c>
      <c r="AF39" s="17">
        <v>1.46E-2</v>
      </c>
      <c r="AG39" s="69" t="s">
        <v>78</v>
      </c>
      <c r="AH39" s="17">
        <v>8.2000000000000007E-3</v>
      </c>
      <c r="AI39" s="17" t="s">
        <v>78</v>
      </c>
      <c r="AJ39" s="17" t="s">
        <v>78</v>
      </c>
      <c r="AK39" s="69" t="s">
        <v>78</v>
      </c>
      <c r="AL39" s="17" t="s">
        <v>78</v>
      </c>
      <c r="AM39" s="17">
        <v>0.15640000000000001</v>
      </c>
      <c r="AN39" s="17" t="s">
        <v>78</v>
      </c>
      <c r="AO39" s="17" t="s">
        <v>78</v>
      </c>
      <c r="AP39" s="69" t="s">
        <v>78</v>
      </c>
      <c r="AQ39" s="69" t="s">
        <v>78</v>
      </c>
      <c r="AR39" s="17" t="s">
        <v>78</v>
      </c>
      <c r="AS39" s="60">
        <v>3.2199999999999999E-2</v>
      </c>
      <c r="AT39" s="17" t="s">
        <v>78</v>
      </c>
      <c r="AU39" s="17" t="s">
        <v>78</v>
      </c>
      <c r="AV39" s="60">
        <v>0.45500000000000002</v>
      </c>
      <c r="AW39" s="17" t="s">
        <v>78</v>
      </c>
      <c r="AX39" s="17" t="s">
        <v>78</v>
      </c>
      <c r="AY39" s="17" t="s">
        <v>78</v>
      </c>
      <c r="AZ39" s="69" t="s">
        <v>78</v>
      </c>
      <c r="BA39" s="17" t="s">
        <v>78</v>
      </c>
      <c r="BB39" s="17" t="s">
        <v>78</v>
      </c>
      <c r="BC39" s="69" t="s">
        <v>78</v>
      </c>
      <c r="BD39" s="69" t="s">
        <v>78</v>
      </c>
      <c r="BE39" s="17" t="s">
        <v>78</v>
      </c>
      <c r="BF39" s="17" t="s">
        <v>78</v>
      </c>
      <c r="BG39" s="17">
        <v>6.3799999999999996E-2</v>
      </c>
      <c r="BH39" s="17" t="s">
        <v>78</v>
      </c>
      <c r="BI39" s="17" t="s">
        <v>78</v>
      </c>
      <c r="BJ39" s="17" t="s">
        <v>78</v>
      </c>
      <c r="BK39" s="69" t="s">
        <v>78</v>
      </c>
      <c r="BL39" s="69" t="s">
        <v>78</v>
      </c>
      <c r="BM39" s="60">
        <v>0.1007</v>
      </c>
      <c r="BN39" s="17" t="s">
        <v>78</v>
      </c>
      <c r="BO39" s="17" t="s">
        <v>78</v>
      </c>
      <c r="BP39" s="17" t="s">
        <v>78</v>
      </c>
      <c r="BQ39" s="17" t="s">
        <v>78</v>
      </c>
      <c r="BR39" s="17" t="s">
        <v>78</v>
      </c>
      <c r="BS39" s="17" t="s">
        <v>78</v>
      </c>
      <c r="BT39" s="17" t="s">
        <v>78</v>
      </c>
      <c r="BU39" s="17" t="s">
        <v>78</v>
      </c>
      <c r="BV39" s="17" t="s">
        <v>78</v>
      </c>
      <c r="BW39" s="17" t="s">
        <v>78</v>
      </c>
      <c r="BX39" s="17">
        <v>9.3700000000000006E-2</v>
      </c>
      <c r="BY39" s="17" t="s">
        <v>78</v>
      </c>
      <c r="BZ39" s="17" t="s">
        <v>78</v>
      </c>
      <c r="CA39" s="17" t="s">
        <v>78</v>
      </c>
      <c r="CB39" s="17" t="s">
        <v>78</v>
      </c>
      <c r="CC39" s="60">
        <v>2.4E-2</v>
      </c>
      <c r="CD39" s="17" t="s">
        <v>78</v>
      </c>
      <c r="CE39" s="69" t="s">
        <v>78</v>
      </c>
      <c r="CF39" s="17" t="s">
        <v>78</v>
      </c>
      <c r="CG39" s="17">
        <v>1.1999999999999999E-3</v>
      </c>
      <c r="CH39" s="17">
        <v>0.1148</v>
      </c>
      <c r="CI39" s="17" t="s">
        <v>78</v>
      </c>
      <c r="CJ39" s="69" t="s">
        <v>78</v>
      </c>
      <c r="CK39" s="17">
        <v>2.8999999999999998E-3</v>
      </c>
      <c r="CL39" s="17" t="s">
        <v>78</v>
      </c>
      <c r="CM39" s="17" t="s">
        <v>78</v>
      </c>
      <c r="CN39" s="17" t="s">
        <v>78</v>
      </c>
      <c r="CO39" s="17" t="s">
        <v>78</v>
      </c>
      <c r="CP39" s="17" t="s">
        <v>78</v>
      </c>
      <c r="CQ39" s="17" t="s">
        <v>78</v>
      </c>
      <c r="CR39" s="17" t="s">
        <v>78</v>
      </c>
      <c r="CS39" s="69" t="s">
        <v>78</v>
      </c>
      <c r="CT39" s="69" t="s">
        <v>78</v>
      </c>
      <c r="CU39" s="17" t="s">
        <v>78</v>
      </c>
      <c r="CV39" s="69" t="s">
        <v>78</v>
      </c>
      <c r="CW39" s="17" t="s">
        <v>78</v>
      </c>
      <c r="CX39" s="17" t="s">
        <v>78</v>
      </c>
      <c r="CY39" s="69" t="s">
        <v>78</v>
      </c>
      <c r="CZ39" s="69" t="s">
        <v>78</v>
      </c>
      <c r="DA39" s="60">
        <v>7.0000000000000001E-3</v>
      </c>
      <c r="DB39" s="60" t="s">
        <v>78</v>
      </c>
      <c r="DC39" s="60" t="s">
        <v>78</v>
      </c>
      <c r="DD39" s="17" t="s">
        <v>78</v>
      </c>
      <c r="DE39" s="17">
        <v>0.34849999999999998</v>
      </c>
      <c r="DF39" s="17" t="s">
        <v>78</v>
      </c>
      <c r="DG39" s="17" t="s">
        <v>78</v>
      </c>
      <c r="DH39" s="69">
        <v>5.8599999999999999E-2</v>
      </c>
      <c r="DI39" s="69" t="s">
        <v>78</v>
      </c>
      <c r="DJ39" s="17" t="s">
        <v>78</v>
      </c>
      <c r="DK39" s="17" t="s">
        <v>78</v>
      </c>
      <c r="DL39" s="17" t="s">
        <v>78</v>
      </c>
      <c r="DM39" s="17" t="s">
        <v>78</v>
      </c>
      <c r="DN39" s="17" t="s">
        <v>78</v>
      </c>
      <c r="DO39" s="17">
        <v>0.21609999999999999</v>
      </c>
      <c r="DP39" s="329">
        <v>7.4999999999999997E-2</v>
      </c>
      <c r="DQ39" s="14"/>
      <c r="DR39" s="8"/>
      <c r="DS39" s="8"/>
      <c r="DT39" s="8"/>
      <c r="DU39" s="8"/>
      <c r="DV39" s="8"/>
      <c r="DW39" s="8"/>
      <c r="DX39" s="8"/>
      <c r="DY39" s="8"/>
      <c r="DZ39" s="8"/>
      <c r="EA39" s="8"/>
      <c r="EB39" s="8"/>
    </row>
    <row r="40" spans="2:132" ht="15" thickBot="1" x14ac:dyDescent="0.4">
      <c r="B40" s="127"/>
      <c r="C40" s="283"/>
      <c r="D40" s="11"/>
      <c r="E40" s="87"/>
      <c r="F40" s="80"/>
      <c r="G40" s="56"/>
      <c r="H40" s="529"/>
      <c r="I40" s="99"/>
      <c r="J40" s="99"/>
      <c r="K40" s="53"/>
      <c r="L40" s="99"/>
      <c r="M40" s="49"/>
      <c r="N40" s="53"/>
      <c r="O40" s="49"/>
      <c r="P40" s="81"/>
      <c r="Q40" s="58"/>
      <c r="R40" s="49"/>
      <c r="S40" s="49"/>
      <c r="T40" s="49"/>
      <c r="U40" s="49"/>
      <c r="V40" s="81"/>
      <c r="W40" s="49"/>
      <c r="X40" s="81"/>
      <c r="Y40" s="49"/>
      <c r="Z40" s="49"/>
      <c r="AA40" s="49"/>
      <c r="AB40" s="49"/>
      <c r="AC40" s="82"/>
      <c r="AD40" s="152"/>
      <c r="AE40" s="70"/>
      <c r="AF40" s="3"/>
      <c r="AG40" s="70"/>
      <c r="AH40" s="3"/>
      <c r="AI40" s="3"/>
      <c r="AJ40" s="3"/>
      <c r="AK40" s="70"/>
      <c r="AL40" s="3"/>
      <c r="AM40" s="3"/>
      <c r="AN40" s="3"/>
      <c r="AO40" s="3"/>
      <c r="AP40" s="70"/>
      <c r="AQ40" s="70"/>
      <c r="AR40" s="3"/>
      <c r="AS40" s="3"/>
      <c r="AT40" s="3"/>
      <c r="AU40" s="3"/>
      <c r="AV40" s="3"/>
      <c r="AW40" s="3"/>
      <c r="AX40" s="3"/>
      <c r="AY40" s="3"/>
      <c r="AZ40" s="70"/>
      <c r="BA40" s="3"/>
      <c r="BB40" s="3"/>
      <c r="BC40" s="70"/>
      <c r="BD40" s="70"/>
      <c r="BE40" s="3"/>
      <c r="BF40" s="3"/>
      <c r="BG40" s="3"/>
      <c r="BH40" s="3"/>
      <c r="BI40" s="3"/>
      <c r="BJ40" s="3"/>
      <c r="BK40" s="70"/>
      <c r="BL40" s="70"/>
      <c r="BM40" s="3"/>
      <c r="BN40" s="3"/>
      <c r="BO40" s="3"/>
      <c r="BP40" s="3"/>
      <c r="BQ40" s="3"/>
      <c r="BR40" s="3"/>
      <c r="BS40" s="3"/>
      <c r="BT40" s="3"/>
      <c r="BU40" s="3"/>
      <c r="BV40" s="3"/>
      <c r="BW40" s="3"/>
      <c r="BX40" s="3"/>
      <c r="BY40" s="3"/>
      <c r="BZ40" s="3"/>
      <c r="CA40" s="3"/>
      <c r="CB40" s="3"/>
      <c r="CC40" s="3"/>
      <c r="CD40" s="3"/>
      <c r="CE40" s="70"/>
      <c r="CF40" s="3"/>
      <c r="CG40" s="3"/>
      <c r="CH40" s="3"/>
      <c r="CI40" s="3"/>
      <c r="CJ40" s="70"/>
      <c r="CK40" s="3"/>
      <c r="CL40" s="3"/>
      <c r="CM40" s="3"/>
      <c r="CN40" s="3"/>
      <c r="CO40" s="3"/>
      <c r="CP40" s="3"/>
      <c r="CQ40" s="3"/>
      <c r="CR40" s="3"/>
      <c r="CS40" s="70"/>
      <c r="CT40" s="70"/>
      <c r="CU40" s="3"/>
      <c r="CV40" s="70"/>
      <c r="CW40" s="3"/>
      <c r="CX40" s="3"/>
      <c r="CY40" s="70"/>
      <c r="CZ40" s="70"/>
      <c r="DA40" s="3"/>
      <c r="DB40" s="3"/>
      <c r="DC40" s="3"/>
      <c r="DD40" s="3"/>
      <c r="DE40" s="3"/>
      <c r="DF40" s="3"/>
      <c r="DG40" s="3"/>
      <c r="DH40" s="70"/>
      <c r="DI40" s="70"/>
      <c r="DJ40" s="3"/>
      <c r="DK40" s="3"/>
      <c r="DL40" s="3"/>
      <c r="DM40" s="3"/>
      <c r="DN40" s="3"/>
      <c r="DO40" s="53"/>
      <c r="DP40" s="319"/>
      <c r="DQ40" s="14"/>
      <c r="DR40" s="8"/>
      <c r="DS40" s="8"/>
      <c r="DT40" s="8"/>
      <c r="DU40" s="8"/>
      <c r="DV40" s="8"/>
      <c r="DW40" s="8"/>
      <c r="DX40" s="8"/>
      <c r="DY40" s="8"/>
      <c r="DZ40" s="8"/>
      <c r="EA40" s="8"/>
      <c r="EB40" s="8"/>
    </row>
    <row r="41" spans="2:132" x14ac:dyDescent="0.35">
      <c r="B41" s="116"/>
      <c r="C41" s="281" t="s">
        <v>202</v>
      </c>
      <c r="D41" s="9"/>
      <c r="E41" s="50"/>
      <c r="F41" s="210"/>
      <c r="G41" s="314"/>
      <c r="H41" s="528"/>
      <c r="I41" s="97"/>
      <c r="J41" s="97"/>
      <c r="K41" s="24"/>
      <c r="L41" s="97"/>
      <c r="M41" s="24"/>
      <c r="N41" s="24"/>
      <c r="O41" s="24"/>
      <c r="P41" s="97"/>
      <c r="Q41" s="32"/>
      <c r="R41" s="24"/>
      <c r="S41" s="24"/>
      <c r="T41" s="24"/>
      <c r="U41" s="24"/>
      <c r="V41" s="97"/>
      <c r="W41" s="24"/>
      <c r="X41" s="97"/>
      <c r="Y41" s="24"/>
      <c r="Z41" s="24"/>
      <c r="AA41" s="24"/>
      <c r="AB41" s="24"/>
      <c r="AC41" s="113"/>
      <c r="AD41" s="154"/>
      <c r="AE41" s="96"/>
      <c r="AF41" s="8"/>
      <c r="AG41" s="96"/>
      <c r="AH41" s="8"/>
      <c r="AI41" s="8"/>
      <c r="AJ41" s="8"/>
      <c r="AK41" s="96"/>
      <c r="AL41" s="8"/>
      <c r="AM41" s="8"/>
      <c r="AN41" s="8"/>
      <c r="AO41" s="8"/>
      <c r="AP41" s="96"/>
      <c r="AQ41" s="96"/>
      <c r="AR41" s="8"/>
      <c r="AS41" s="8"/>
      <c r="AT41" s="8"/>
      <c r="AU41" s="8"/>
      <c r="AV41" s="8"/>
      <c r="AW41" s="8"/>
      <c r="AX41" s="8"/>
      <c r="AY41" s="8"/>
      <c r="AZ41" s="96"/>
      <c r="BA41" s="8"/>
      <c r="BB41" s="8"/>
      <c r="BC41" s="96"/>
      <c r="BD41" s="96"/>
      <c r="BG41" s="8"/>
      <c r="BH41" s="8"/>
      <c r="BI41" s="8"/>
      <c r="BJ41" s="8"/>
      <c r="BK41" s="96"/>
      <c r="BL41" s="96"/>
      <c r="BM41" s="8"/>
      <c r="BN41" s="8"/>
      <c r="BO41" s="8"/>
      <c r="BP41" s="8"/>
      <c r="BQ41" s="8"/>
      <c r="BR41" s="8"/>
      <c r="BS41" s="8"/>
      <c r="BT41" s="8"/>
      <c r="BU41" s="8"/>
      <c r="BV41" s="8"/>
      <c r="BW41" s="8"/>
      <c r="BX41" s="8"/>
      <c r="BY41" s="8"/>
      <c r="BZ41" s="8"/>
      <c r="CA41" s="8"/>
      <c r="CB41" s="8"/>
      <c r="CC41" s="8"/>
      <c r="CD41" s="8"/>
      <c r="CE41" s="96"/>
      <c r="CF41" s="8"/>
      <c r="CG41" s="8"/>
      <c r="CH41" s="8"/>
      <c r="CI41" s="8"/>
      <c r="CJ41" s="96"/>
      <c r="CK41" s="8"/>
      <c r="CL41" s="8"/>
      <c r="CM41" s="8"/>
      <c r="CN41" s="8"/>
      <c r="CO41" s="8"/>
      <c r="CP41" s="8"/>
      <c r="CQ41" s="8"/>
      <c r="CR41" s="8"/>
      <c r="CS41" s="96"/>
      <c r="CT41" s="96"/>
      <c r="CV41" s="96"/>
      <c r="CW41" s="8"/>
      <c r="CX41" s="8"/>
      <c r="CY41" s="96"/>
      <c r="CZ41" s="96"/>
      <c r="DA41" s="8"/>
      <c r="DB41" s="8"/>
      <c r="DC41" s="8"/>
      <c r="DD41" s="8"/>
      <c r="DE41" s="8"/>
      <c r="DF41" s="8"/>
      <c r="DG41" s="8"/>
      <c r="DH41" s="96"/>
      <c r="DI41" s="96"/>
      <c r="DL41" s="8"/>
      <c r="DM41" s="8"/>
      <c r="DN41" s="8"/>
      <c r="DO41" s="17"/>
      <c r="DP41" s="52"/>
      <c r="DQ41" s="14"/>
      <c r="DR41" s="8"/>
      <c r="DS41" s="8"/>
      <c r="DT41" s="8"/>
      <c r="DU41" s="8"/>
      <c r="DV41" s="8"/>
      <c r="DW41" s="8"/>
      <c r="DX41" s="8"/>
      <c r="DY41" s="8"/>
      <c r="DZ41" s="8"/>
      <c r="EA41" s="8"/>
      <c r="EB41" s="8"/>
    </row>
    <row r="42" spans="2:132" ht="16.5" x14ac:dyDescent="0.35">
      <c r="B42" s="126"/>
      <c r="C42" s="282"/>
      <c r="D42" s="9">
        <v>20100802</v>
      </c>
      <c r="E42" s="129" t="s">
        <v>89</v>
      </c>
      <c r="F42" s="189" t="s">
        <v>369</v>
      </c>
      <c r="G42" s="314" t="s">
        <v>146</v>
      </c>
      <c r="H42" s="548" t="s">
        <v>456</v>
      </c>
      <c r="I42" s="69" t="s">
        <v>78</v>
      </c>
      <c r="J42" s="69" t="s">
        <v>78</v>
      </c>
      <c r="K42" s="17" t="s">
        <v>78</v>
      </c>
      <c r="L42" s="69" t="s">
        <v>78</v>
      </c>
      <c r="M42" s="17" t="s">
        <v>78</v>
      </c>
      <c r="N42" s="17" t="s">
        <v>78</v>
      </c>
      <c r="O42" s="17" t="s">
        <v>78</v>
      </c>
      <c r="P42" s="69" t="s">
        <v>78</v>
      </c>
      <c r="Q42" s="138" t="s">
        <v>78</v>
      </c>
      <c r="R42" s="17" t="s">
        <v>78</v>
      </c>
      <c r="S42" s="17" t="s">
        <v>78</v>
      </c>
      <c r="T42" s="17" t="s">
        <v>78</v>
      </c>
      <c r="U42" s="17" t="s">
        <v>78</v>
      </c>
      <c r="V42" s="69" t="s">
        <v>78</v>
      </c>
      <c r="W42" s="17" t="s">
        <v>78</v>
      </c>
      <c r="X42" s="69" t="s">
        <v>78</v>
      </c>
      <c r="Y42" s="17" t="s">
        <v>78</v>
      </c>
      <c r="Z42" s="17" t="s">
        <v>78</v>
      </c>
      <c r="AA42" s="17" t="s">
        <v>78</v>
      </c>
      <c r="AB42" s="17" t="s">
        <v>78</v>
      </c>
      <c r="AC42" s="77" t="s">
        <v>78</v>
      </c>
      <c r="AD42" s="151" t="s">
        <v>78</v>
      </c>
      <c r="AE42" s="69" t="s">
        <v>78</v>
      </c>
      <c r="AF42" s="17" t="s">
        <v>78</v>
      </c>
      <c r="AG42" s="69" t="s">
        <v>78</v>
      </c>
      <c r="AH42" s="17" t="s">
        <v>78</v>
      </c>
      <c r="AI42" s="17" t="s">
        <v>78</v>
      </c>
      <c r="AJ42" s="17" t="s">
        <v>78</v>
      </c>
      <c r="AK42" s="69" t="s">
        <v>78</v>
      </c>
      <c r="AL42" s="204">
        <v>1.5960000000000001E-6</v>
      </c>
      <c r="AM42" s="95">
        <v>9.4800000000000006E-3</v>
      </c>
      <c r="AN42" s="204">
        <v>2.699E-7</v>
      </c>
      <c r="AO42" s="204">
        <v>4.8800000000000003E-7</v>
      </c>
      <c r="AP42" s="69" t="s">
        <v>78</v>
      </c>
      <c r="AQ42" s="69" t="s">
        <v>78</v>
      </c>
      <c r="AR42" s="204">
        <v>2.699E-7</v>
      </c>
      <c r="AS42" s="17" t="s">
        <v>78</v>
      </c>
      <c r="AT42" s="17" t="s">
        <v>78</v>
      </c>
      <c r="AU42" s="183">
        <v>1.1400000000000001E-4</v>
      </c>
      <c r="AV42" s="17" t="s">
        <v>78</v>
      </c>
      <c r="AW42" s="17" t="s">
        <v>78</v>
      </c>
      <c r="AX42" s="183">
        <v>1.13E-4</v>
      </c>
      <c r="AY42" s="204">
        <v>5.8710000000000002E-6</v>
      </c>
      <c r="AZ42" s="69" t="s">
        <v>78</v>
      </c>
      <c r="BA42" s="204">
        <v>2.699E-7</v>
      </c>
      <c r="BB42" s="95" t="s">
        <v>78</v>
      </c>
      <c r="BC42" s="69" t="s">
        <v>78</v>
      </c>
      <c r="BD42" s="69" t="s">
        <v>78</v>
      </c>
      <c r="BE42" s="17" t="s">
        <v>78</v>
      </c>
      <c r="BF42" s="17" t="s">
        <v>78</v>
      </c>
      <c r="BG42" s="17" t="s">
        <v>78</v>
      </c>
      <c r="BH42" s="17" t="s">
        <v>78</v>
      </c>
      <c r="BI42" s="183">
        <v>1.12E-4</v>
      </c>
      <c r="BJ42" s="23">
        <v>5.0800000000000003E-3</v>
      </c>
      <c r="BK42" s="69" t="s">
        <v>78</v>
      </c>
      <c r="BL42" s="69" t="s">
        <v>78</v>
      </c>
      <c r="BM42" s="93">
        <v>1.49</v>
      </c>
      <c r="BN42" s="17" t="s">
        <v>78</v>
      </c>
      <c r="BO42" s="17" t="s">
        <v>78</v>
      </c>
      <c r="BP42" s="17" t="s">
        <v>78</v>
      </c>
      <c r="BQ42" s="17" t="s">
        <v>78</v>
      </c>
      <c r="BR42" s="17" t="s">
        <v>78</v>
      </c>
      <c r="BS42" s="17" t="s">
        <v>78</v>
      </c>
      <c r="BT42" s="17" t="s">
        <v>78</v>
      </c>
      <c r="BU42" s="17" t="s">
        <v>78</v>
      </c>
      <c r="BV42" s="17" t="s">
        <v>78</v>
      </c>
      <c r="BW42" s="17" t="s">
        <v>78</v>
      </c>
      <c r="BX42" s="17" t="s">
        <v>78</v>
      </c>
      <c r="BY42" s="93">
        <v>2.0699999999999998</v>
      </c>
      <c r="BZ42" s="17" t="s">
        <v>78</v>
      </c>
      <c r="CA42" s="17" t="s">
        <v>78</v>
      </c>
      <c r="CB42" s="204">
        <v>2.699E-7</v>
      </c>
      <c r="CC42" s="17" t="s">
        <v>78</v>
      </c>
      <c r="CD42" s="17" t="s">
        <v>78</v>
      </c>
      <c r="CE42" s="69" t="s">
        <v>78</v>
      </c>
      <c r="CF42" s="183">
        <v>1.11E-4</v>
      </c>
      <c r="CG42" s="17" t="s">
        <v>78</v>
      </c>
      <c r="CH42" s="17" t="s">
        <v>78</v>
      </c>
      <c r="CI42" s="183">
        <v>1.2999999999999999E-4</v>
      </c>
      <c r="CJ42" s="69" t="s">
        <v>78</v>
      </c>
      <c r="CK42" s="94">
        <v>7.3839999999999995E-4</v>
      </c>
      <c r="CL42" s="95" t="s">
        <v>78</v>
      </c>
      <c r="CM42" s="95" t="s">
        <v>78</v>
      </c>
      <c r="CN42" s="17" t="s">
        <v>78</v>
      </c>
      <c r="CO42" s="95" t="s">
        <v>78</v>
      </c>
      <c r="CP42" s="95" t="s">
        <v>78</v>
      </c>
      <c r="CQ42" s="95" t="s">
        <v>78</v>
      </c>
      <c r="CR42" s="183">
        <v>5.8399999999999999E-4</v>
      </c>
      <c r="CS42" s="69" t="s">
        <v>78</v>
      </c>
      <c r="CT42" s="69" t="s">
        <v>78</v>
      </c>
      <c r="CU42" s="17" t="s">
        <v>78</v>
      </c>
      <c r="CV42" s="69" t="s">
        <v>78</v>
      </c>
      <c r="CW42" s="17" t="s">
        <v>78</v>
      </c>
      <c r="CX42" s="17" t="s">
        <v>78</v>
      </c>
      <c r="CY42" s="69" t="s">
        <v>78</v>
      </c>
      <c r="CZ42" s="69" t="s">
        <v>78</v>
      </c>
      <c r="DA42" s="17" t="s">
        <v>78</v>
      </c>
      <c r="DB42" s="17" t="s">
        <v>78</v>
      </c>
      <c r="DC42" s="17" t="s">
        <v>78</v>
      </c>
      <c r="DD42" s="17" t="s">
        <v>78</v>
      </c>
      <c r="DE42" s="17" t="s">
        <v>78</v>
      </c>
      <c r="DF42" s="23">
        <v>1.49E-3</v>
      </c>
      <c r="DG42" s="17" t="s">
        <v>78</v>
      </c>
      <c r="DH42" s="69" t="s">
        <v>78</v>
      </c>
      <c r="DI42" s="135" t="s">
        <v>78</v>
      </c>
      <c r="DJ42" s="95" t="s">
        <v>78</v>
      </c>
      <c r="DK42" s="95" t="s">
        <v>78</v>
      </c>
      <c r="DL42" s="183">
        <v>1.63E-4</v>
      </c>
      <c r="DM42" s="95" t="s">
        <v>78</v>
      </c>
      <c r="DN42" s="17" t="s">
        <v>78</v>
      </c>
      <c r="DO42" s="17" t="s">
        <v>78</v>
      </c>
      <c r="DP42" s="52" t="s">
        <v>78</v>
      </c>
      <c r="DQ42" s="14"/>
      <c r="DR42" s="8"/>
      <c r="DS42" s="8"/>
      <c r="DT42" s="8"/>
      <c r="DU42" s="8"/>
      <c r="DV42" s="8"/>
      <c r="DW42" s="8"/>
      <c r="DX42" s="8"/>
      <c r="DY42" s="8"/>
      <c r="DZ42" s="8"/>
      <c r="EA42" s="8"/>
      <c r="EB42" s="8"/>
    </row>
    <row r="43" spans="2:132" ht="15" thickBot="1" x14ac:dyDescent="0.4">
      <c r="B43" s="126"/>
      <c r="C43" s="282"/>
      <c r="D43" s="24"/>
      <c r="E43" s="122"/>
      <c r="F43" s="134"/>
      <c r="G43" s="314"/>
      <c r="H43" s="528"/>
      <c r="I43" s="97"/>
      <c r="J43" s="97"/>
      <c r="K43" s="24"/>
      <c r="L43" s="97"/>
      <c r="M43" s="24"/>
      <c r="N43" s="24"/>
      <c r="O43" s="24"/>
      <c r="P43" s="97"/>
      <c r="Q43" s="32"/>
      <c r="R43" s="24"/>
      <c r="S43" s="24"/>
      <c r="T43" s="24"/>
      <c r="U43" s="24"/>
      <c r="V43" s="97"/>
      <c r="W43" s="24"/>
      <c r="X43" s="97"/>
      <c r="Y43" s="24"/>
      <c r="Z43" s="24"/>
      <c r="AA43" s="24"/>
      <c r="AB43" s="24"/>
      <c r="AC43" s="113"/>
      <c r="AD43" s="154"/>
      <c r="AE43" s="96"/>
      <c r="AF43" s="8"/>
      <c r="AG43" s="96"/>
      <c r="AH43" s="8"/>
      <c r="AI43" s="8"/>
      <c r="AJ43" s="8"/>
      <c r="AK43" s="96"/>
      <c r="AL43" s="8"/>
      <c r="AM43" s="8"/>
      <c r="AN43" s="8"/>
      <c r="AO43" s="8"/>
      <c r="AP43" s="96"/>
      <c r="AQ43" s="96"/>
      <c r="AR43" s="8"/>
      <c r="AS43" s="8"/>
      <c r="AT43" s="8"/>
      <c r="AU43" s="8"/>
      <c r="AV43" s="8"/>
      <c r="AW43" s="8"/>
      <c r="AX43" s="8"/>
      <c r="AY43" s="8"/>
      <c r="AZ43" s="96"/>
      <c r="BA43" s="8"/>
      <c r="BB43" s="8"/>
      <c r="BC43" s="96"/>
      <c r="BD43" s="96"/>
      <c r="BG43" s="8"/>
      <c r="BH43" s="8"/>
      <c r="BI43" s="8"/>
      <c r="BJ43" s="8"/>
      <c r="BK43" s="96"/>
      <c r="BL43" s="96"/>
      <c r="BM43" s="8"/>
      <c r="BN43" s="8"/>
      <c r="BO43" s="8"/>
      <c r="BP43" s="8"/>
      <c r="BQ43" s="8"/>
      <c r="BR43" s="8"/>
      <c r="BS43" s="8"/>
      <c r="BT43" s="8"/>
      <c r="BU43" s="8"/>
      <c r="BV43" s="8"/>
      <c r="BW43" s="8"/>
      <c r="BX43" s="8"/>
      <c r="BY43" s="8"/>
      <c r="BZ43" s="8"/>
      <c r="CA43" s="8"/>
      <c r="CB43" s="8"/>
      <c r="CC43" s="8"/>
      <c r="CD43" s="8"/>
      <c r="CE43" s="96"/>
      <c r="CF43" s="8"/>
      <c r="CG43" s="8"/>
      <c r="CH43" s="8"/>
      <c r="CI43" s="8"/>
      <c r="CJ43" s="96"/>
      <c r="CK43" s="262"/>
      <c r="CL43" s="8"/>
      <c r="CM43" s="8"/>
      <c r="CN43" s="8"/>
      <c r="CO43" s="8"/>
      <c r="CP43" s="8"/>
      <c r="CQ43" s="8"/>
      <c r="CR43" s="8"/>
      <c r="CS43" s="96"/>
      <c r="CT43" s="96"/>
      <c r="CV43" s="96"/>
      <c r="CW43" s="8"/>
      <c r="CX43" s="8"/>
      <c r="CY43" s="96"/>
      <c r="CZ43" s="96"/>
      <c r="DA43" s="8"/>
      <c r="DB43" s="8"/>
      <c r="DC43" s="8"/>
      <c r="DD43" s="8"/>
      <c r="DE43" s="8"/>
      <c r="DF43" s="8"/>
      <c r="DG43" s="8"/>
      <c r="DH43" s="96"/>
      <c r="DI43" s="96"/>
      <c r="DL43" s="8"/>
      <c r="DM43" s="8"/>
      <c r="DN43" s="8"/>
      <c r="DO43" s="17"/>
      <c r="DP43" s="52"/>
      <c r="DQ43" s="14"/>
      <c r="DR43" s="8"/>
      <c r="DS43" s="8"/>
      <c r="DT43" s="8"/>
      <c r="DU43" s="8"/>
      <c r="DV43" s="8"/>
      <c r="DW43" s="8"/>
      <c r="DX43" s="8"/>
      <c r="DY43" s="8"/>
      <c r="DZ43" s="8"/>
      <c r="EA43" s="8"/>
      <c r="EB43" s="8"/>
    </row>
    <row r="44" spans="2:132" x14ac:dyDescent="0.35">
      <c r="B44" s="117"/>
      <c r="C44" s="280" t="s">
        <v>218</v>
      </c>
      <c r="D44" s="85"/>
      <c r="E44" s="133"/>
      <c r="F44" s="434"/>
      <c r="G44" s="55"/>
      <c r="H44" s="530"/>
      <c r="I44" s="84"/>
      <c r="J44" s="84"/>
      <c r="K44" s="85"/>
      <c r="L44" s="84"/>
      <c r="M44" s="85"/>
      <c r="N44" s="85"/>
      <c r="O44" s="85"/>
      <c r="P44" s="84"/>
      <c r="Q44" s="59"/>
      <c r="R44" s="85"/>
      <c r="S44" s="85"/>
      <c r="T44" s="85"/>
      <c r="U44" s="85"/>
      <c r="V44" s="84"/>
      <c r="W44" s="85"/>
      <c r="X44" s="84"/>
      <c r="Y44" s="85"/>
      <c r="Z44" s="85"/>
      <c r="AA44" s="85"/>
      <c r="AB44" s="85"/>
      <c r="AC44" s="86"/>
      <c r="AD44" s="150"/>
      <c r="AE44" s="71"/>
      <c r="AF44" s="19"/>
      <c r="AG44" s="71"/>
      <c r="AH44" s="19"/>
      <c r="AI44" s="19"/>
      <c r="AJ44" s="19"/>
      <c r="AK44" s="71"/>
      <c r="AL44" s="19"/>
      <c r="AM44" s="19"/>
      <c r="AN44" s="19"/>
      <c r="AO44" s="19"/>
      <c r="AP44" s="71"/>
      <c r="AQ44" s="71"/>
      <c r="AR44" s="19"/>
      <c r="AS44" s="19"/>
      <c r="AT44" s="19"/>
      <c r="AU44" s="19"/>
      <c r="AV44" s="19"/>
      <c r="AW44" s="19"/>
      <c r="AX44" s="19"/>
      <c r="AY44" s="19"/>
      <c r="AZ44" s="71"/>
      <c r="BA44" s="19"/>
      <c r="BB44" s="19"/>
      <c r="BC44" s="71"/>
      <c r="BD44" s="71"/>
      <c r="BE44" s="19"/>
      <c r="BF44" s="19"/>
      <c r="BG44" s="19"/>
      <c r="BH44" s="19"/>
      <c r="BI44" s="19"/>
      <c r="BJ44" s="19"/>
      <c r="BK44" s="71"/>
      <c r="BL44" s="71"/>
      <c r="BM44" s="19"/>
      <c r="BN44" s="19"/>
      <c r="BO44" s="19"/>
      <c r="BP44" s="19"/>
      <c r="BQ44" s="19"/>
      <c r="BR44" s="19"/>
      <c r="BS44" s="19"/>
      <c r="BT44" s="19"/>
      <c r="BU44" s="19"/>
      <c r="BV44" s="19"/>
      <c r="BW44" s="19"/>
      <c r="BX44" s="19"/>
      <c r="BY44" s="19"/>
      <c r="BZ44" s="19"/>
      <c r="CA44" s="19"/>
      <c r="CB44" s="19"/>
      <c r="CC44" s="19"/>
      <c r="CD44" s="19"/>
      <c r="CE44" s="71"/>
      <c r="CF44" s="19"/>
      <c r="CG44" s="19"/>
      <c r="CH44" s="19"/>
      <c r="CI44" s="19"/>
      <c r="CJ44" s="71"/>
      <c r="CK44" s="263"/>
      <c r="CL44" s="19"/>
      <c r="CM44" s="19"/>
      <c r="CN44" s="19"/>
      <c r="CO44" s="19"/>
      <c r="CP44" s="19"/>
      <c r="CQ44" s="19"/>
      <c r="CR44" s="19"/>
      <c r="CS44" s="71"/>
      <c r="CT44" s="71"/>
      <c r="CU44" s="19"/>
      <c r="CV44" s="71"/>
      <c r="CW44" s="19"/>
      <c r="CX44" s="19"/>
      <c r="CY44" s="71"/>
      <c r="CZ44" s="71"/>
      <c r="DA44" s="19"/>
      <c r="DB44" s="19"/>
      <c r="DC44" s="19"/>
      <c r="DD44" s="19"/>
      <c r="DE44" s="19"/>
      <c r="DF44" s="19"/>
      <c r="DG44" s="19"/>
      <c r="DH44" s="71"/>
      <c r="DI44" s="71"/>
      <c r="DJ44" s="19"/>
      <c r="DK44" s="19"/>
      <c r="DL44" s="19"/>
      <c r="DM44" s="19"/>
      <c r="DN44" s="19"/>
      <c r="DO44" s="57"/>
      <c r="DP44" s="320"/>
      <c r="DQ44" s="14"/>
      <c r="DR44" s="8"/>
      <c r="DS44" s="8"/>
      <c r="DT44" s="8"/>
      <c r="DU44" s="8"/>
      <c r="DV44" s="8"/>
      <c r="DW44" s="8"/>
      <c r="DX44" s="8"/>
      <c r="DY44" s="8"/>
      <c r="DZ44" s="8"/>
      <c r="EA44" s="8"/>
      <c r="EB44" s="8"/>
    </row>
    <row r="45" spans="2:132" ht="16.5" x14ac:dyDescent="0.35">
      <c r="B45" s="126"/>
      <c r="C45" s="282"/>
      <c r="D45" s="24">
        <v>20300702</v>
      </c>
      <c r="E45" s="122" t="s">
        <v>219</v>
      </c>
      <c r="F45" s="189" t="s">
        <v>370</v>
      </c>
      <c r="G45" s="314" t="s">
        <v>146</v>
      </c>
      <c r="H45" s="548" t="s">
        <v>456</v>
      </c>
      <c r="I45" s="69" t="s">
        <v>78</v>
      </c>
      <c r="J45" s="69" t="s">
        <v>78</v>
      </c>
      <c r="K45" s="24">
        <v>1.3799999999999999E-3</v>
      </c>
      <c r="L45" s="69" t="s">
        <v>78</v>
      </c>
      <c r="M45" s="17" t="s">
        <v>78</v>
      </c>
      <c r="N45" s="17">
        <v>3.48E-4</v>
      </c>
      <c r="O45" s="17" t="s">
        <v>78</v>
      </c>
      <c r="P45" s="97" t="s">
        <v>78</v>
      </c>
      <c r="Q45" s="32" t="s">
        <v>78</v>
      </c>
      <c r="R45" s="24" t="s">
        <v>78</v>
      </c>
      <c r="S45" s="24">
        <v>2.0400000000000001E-3</v>
      </c>
      <c r="T45" s="17" t="s">
        <v>78</v>
      </c>
      <c r="U45" s="17" t="s">
        <v>78</v>
      </c>
      <c r="V45" s="69" t="s">
        <v>78</v>
      </c>
      <c r="W45" s="212">
        <v>1.1999999999999999E-3</v>
      </c>
      <c r="X45" s="69" t="s">
        <v>78</v>
      </c>
      <c r="Y45" s="212">
        <v>6.6E-3</v>
      </c>
      <c r="Z45" s="17" t="s">
        <v>78</v>
      </c>
      <c r="AA45" s="17" t="s">
        <v>78</v>
      </c>
      <c r="AB45" s="17" t="s">
        <v>78</v>
      </c>
      <c r="AC45" s="77" t="s">
        <v>78</v>
      </c>
      <c r="AD45" s="217" t="s">
        <v>78</v>
      </c>
      <c r="AE45" s="213" t="s">
        <v>78</v>
      </c>
      <c r="AF45" s="208">
        <v>6.2399999999999997E-2</v>
      </c>
      <c r="AG45" s="213" t="s">
        <v>78</v>
      </c>
      <c r="AH45" s="208">
        <v>1.422E-2</v>
      </c>
      <c r="AI45" s="214" t="s">
        <v>78</v>
      </c>
      <c r="AJ45" s="208">
        <v>3.2</v>
      </c>
      <c r="AK45" s="213" t="s">
        <v>78</v>
      </c>
      <c r="AL45" s="214" t="s">
        <v>78</v>
      </c>
      <c r="AM45" s="208">
        <v>1.698</v>
      </c>
      <c r="AN45" s="214" t="s">
        <v>78</v>
      </c>
      <c r="AO45" s="214" t="s">
        <v>78</v>
      </c>
      <c r="AP45" s="213" t="s">
        <v>78</v>
      </c>
      <c r="AQ45" s="213" t="s">
        <v>78</v>
      </c>
      <c r="AR45" s="214" t="s">
        <v>78</v>
      </c>
      <c r="AS45" s="208">
        <v>2.4300000000000002E-2</v>
      </c>
      <c r="AT45" s="17" t="s">
        <v>78</v>
      </c>
      <c r="AU45" s="215">
        <v>1.2E-2</v>
      </c>
      <c r="AV45" s="214" t="s">
        <v>78</v>
      </c>
      <c r="AW45" s="214" t="s">
        <v>78</v>
      </c>
      <c r="AX45" s="208">
        <v>1.0200000000000001E-2</v>
      </c>
      <c r="AY45" s="214" t="s">
        <v>78</v>
      </c>
      <c r="AZ45" s="69" t="s">
        <v>78</v>
      </c>
      <c r="BA45" s="214" t="s">
        <v>78</v>
      </c>
      <c r="BB45" s="214" t="s">
        <v>78</v>
      </c>
      <c r="BC45" s="213" t="s">
        <v>78</v>
      </c>
      <c r="BD45" s="213" t="s">
        <v>78</v>
      </c>
      <c r="BE45" s="208">
        <v>4.2840000000000003E-2</v>
      </c>
      <c r="BF45" s="208">
        <v>8.6999999999999994E-3</v>
      </c>
      <c r="BG45" s="214" t="s">
        <v>78</v>
      </c>
      <c r="BH45" s="17" t="s">
        <v>78</v>
      </c>
      <c r="BI45" s="208">
        <v>4.3559999999999996E-3</v>
      </c>
      <c r="BJ45" s="216">
        <v>8.9999999999999993E-3</v>
      </c>
      <c r="BK45" s="213" t="s">
        <v>78</v>
      </c>
      <c r="BL45" s="213" t="s">
        <v>78</v>
      </c>
      <c r="BM45" s="208">
        <v>1.8</v>
      </c>
      <c r="BN45" s="214" t="s">
        <v>78</v>
      </c>
      <c r="BO45" s="214" t="s">
        <v>78</v>
      </c>
      <c r="BP45" s="214" t="s">
        <v>78</v>
      </c>
      <c r="BQ45" s="214" t="s">
        <v>78</v>
      </c>
      <c r="BR45" s="214" t="s">
        <v>78</v>
      </c>
      <c r="BS45" s="214" t="s">
        <v>78</v>
      </c>
      <c r="BT45" s="214" t="s">
        <v>78</v>
      </c>
      <c r="BU45" s="214" t="s">
        <v>78</v>
      </c>
      <c r="BV45" s="214" t="s">
        <v>78</v>
      </c>
      <c r="BW45" s="214" t="s">
        <v>78</v>
      </c>
      <c r="BX45" s="214" t="s">
        <v>78</v>
      </c>
      <c r="BY45" s="214" t="s">
        <v>78</v>
      </c>
      <c r="BZ45" s="214" t="s">
        <v>78</v>
      </c>
      <c r="CA45" s="214" t="s">
        <v>78</v>
      </c>
      <c r="CB45" s="214" t="s">
        <v>78</v>
      </c>
      <c r="CC45" s="214" t="s">
        <v>78</v>
      </c>
      <c r="CD45" s="17" t="s">
        <v>78</v>
      </c>
      <c r="CE45" s="69" t="s">
        <v>78</v>
      </c>
      <c r="CF45" s="208">
        <v>8.8800000000000007E-3</v>
      </c>
      <c r="CG45" s="214" t="s">
        <v>78</v>
      </c>
      <c r="CH45" s="214" t="s">
        <v>78</v>
      </c>
      <c r="CI45" s="208">
        <v>8.7599999999999997E-2</v>
      </c>
      <c r="CJ45" s="213" t="s">
        <v>78</v>
      </c>
      <c r="CK45" s="264" t="s">
        <v>78</v>
      </c>
      <c r="CL45" s="214" t="s">
        <v>78</v>
      </c>
      <c r="CM45" s="214" t="s">
        <v>78</v>
      </c>
      <c r="CN45" s="214" t="s">
        <v>78</v>
      </c>
      <c r="CO45" s="214" t="s">
        <v>78</v>
      </c>
      <c r="CP45" s="214" t="s">
        <v>78</v>
      </c>
      <c r="CQ45" s="214" t="s">
        <v>78</v>
      </c>
      <c r="CR45" s="208">
        <v>1.26E-2</v>
      </c>
      <c r="CS45" s="213" t="s">
        <v>78</v>
      </c>
      <c r="CT45" s="213" t="s">
        <v>78</v>
      </c>
      <c r="CU45" s="17" t="s">
        <v>78</v>
      </c>
      <c r="CV45" s="213" t="s">
        <v>78</v>
      </c>
      <c r="CW45" s="214" t="s">
        <v>78</v>
      </c>
      <c r="CX45" s="214" t="s">
        <v>78</v>
      </c>
      <c r="CY45" s="213" t="s">
        <v>78</v>
      </c>
      <c r="CZ45" s="213" t="s">
        <v>78</v>
      </c>
      <c r="DA45" s="208">
        <v>3.3119999999999997E-2</v>
      </c>
      <c r="DB45" s="208" t="s">
        <v>78</v>
      </c>
      <c r="DC45" s="208" t="s">
        <v>78</v>
      </c>
      <c r="DD45" s="214" t="s">
        <v>78</v>
      </c>
      <c r="DE45" s="208">
        <v>0.74399999999999999</v>
      </c>
      <c r="DF45" s="208">
        <v>1.0800000000000001E-2</v>
      </c>
      <c r="DG45" s="214" t="s">
        <v>78</v>
      </c>
      <c r="DH45" s="213" t="s">
        <v>78</v>
      </c>
      <c r="DI45" s="213" t="s">
        <v>78</v>
      </c>
      <c r="DJ45" s="214" t="s">
        <v>78</v>
      </c>
      <c r="DK45" s="214" t="s">
        <v>78</v>
      </c>
      <c r="DL45" s="208">
        <v>2.1600000000000001E-2</v>
      </c>
      <c r="DM45" s="208">
        <v>4.5060000000000005E-3</v>
      </c>
      <c r="DN45" s="208">
        <v>0.16019999999999998</v>
      </c>
      <c r="DO45" s="214" t="s">
        <v>78</v>
      </c>
      <c r="DP45" s="330" t="s">
        <v>78</v>
      </c>
      <c r="DQ45" s="14"/>
      <c r="DR45" s="8"/>
      <c r="DS45" s="8"/>
      <c r="DT45" s="8"/>
      <c r="DU45" s="8"/>
      <c r="DV45" s="8"/>
      <c r="DW45" s="8"/>
      <c r="DX45" s="8"/>
      <c r="DY45" s="8"/>
      <c r="DZ45" s="8"/>
      <c r="EA45" s="8"/>
      <c r="EB45" s="8"/>
    </row>
    <row r="46" spans="2:132" ht="15" thickBot="1" x14ac:dyDescent="0.4">
      <c r="B46" s="127"/>
      <c r="C46" s="283"/>
      <c r="D46" s="49"/>
      <c r="E46" s="132"/>
      <c r="F46" s="435"/>
      <c r="G46" s="56"/>
      <c r="H46" s="529"/>
      <c r="I46" s="81"/>
      <c r="J46" s="81"/>
      <c r="K46" s="49"/>
      <c r="L46" s="81"/>
      <c r="M46" s="49"/>
      <c r="N46" s="49"/>
      <c r="O46" s="49"/>
      <c r="P46" s="81"/>
      <c r="Q46" s="58"/>
      <c r="R46" s="49"/>
      <c r="S46" s="49"/>
      <c r="T46" s="49"/>
      <c r="U46" s="49"/>
      <c r="V46" s="81"/>
      <c r="W46" s="49"/>
      <c r="X46" s="81"/>
      <c r="Y46" s="49"/>
      <c r="Z46" s="49"/>
      <c r="AA46" s="49"/>
      <c r="AB46" s="49"/>
      <c r="AC46" s="82"/>
      <c r="AD46" s="152"/>
      <c r="AE46" s="70"/>
      <c r="AF46" s="3"/>
      <c r="AG46" s="70"/>
      <c r="AH46" s="3"/>
      <c r="AI46" s="3"/>
      <c r="AJ46" s="3"/>
      <c r="AK46" s="70"/>
      <c r="AL46" s="3"/>
      <c r="AM46" s="3"/>
      <c r="AN46" s="3"/>
      <c r="AO46" s="3"/>
      <c r="AP46" s="70"/>
      <c r="AQ46" s="70"/>
      <c r="AR46" s="3"/>
      <c r="AS46" s="3"/>
      <c r="AT46" s="3"/>
      <c r="AU46" s="3"/>
      <c r="AV46" s="3"/>
      <c r="AW46" s="3"/>
      <c r="AX46" s="3"/>
      <c r="AY46" s="3"/>
      <c r="AZ46" s="70"/>
      <c r="BA46" s="3"/>
      <c r="BB46" s="3"/>
      <c r="BC46" s="70"/>
      <c r="BD46" s="70"/>
      <c r="BE46" s="3"/>
      <c r="BF46" s="3"/>
      <c r="BG46" s="3"/>
      <c r="BH46" s="3"/>
      <c r="BI46" s="3"/>
      <c r="BJ46" s="3"/>
      <c r="BK46" s="70"/>
      <c r="BL46" s="70"/>
      <c r="BM46" s="3"/>
      <c r="BN46" s="3"/>
      <c r="BO46" s="3"/>
      <c r="BP46" s="3"/>
      <c r="BQ46" s="3"/>
      <c r="BR46" s="3"/>
      <c r="BS46" s="3"/>
      <c r="BT46" s="3"/>
      <c r="BU46" s="3"/>
      <c r="BV46" s="3"/>
      <c r="BW46" s="3"/>
      <c r="BX46" s="3"/>
      <c r="BY46" s="3"/>
      <c r="BZ46" s="3"/>
      <c r="CA46" s="3"/>
      <c r="CB46" s="3"/>
      <c r="CC46" s="3"/>
      <c r="CD46" s="3"/>
      <c r="CE46" s="70"/>
      <c r="CF46" s="3"/>
      <c r="CG46" s="3"/>
      <c r="CH46" s="3"/>
      <c r="CI46" s="3"/>
      <c r="CJ46" s="70"/>
      <c r="CK46" s="265"/>
      <c r="CL46" s="3"/>
      <c r="CM46" s="3"/>
      <c r="CN46" s="3"/>
      <c r="CO46" s="3"/>
      <c r="CP46" s="3"/>
      <c r="CQ46" s="3"/>
      <c r="CR46" s="3"/>
      <c r="CS46" s="70"/>
      <c r="CT46" s="70"/>
      <c r="CU46" s="3"/>
      <c r="CV46" s="70"/>
      <c r="CW46" s="3"/>
      <c r="CX46" s="3"/>
      <c r="CY46" s="70"/>
      <c r="CZ46" s="70"/>
      <c r="DA46" s="3"/>
      <c r="DB46" s="3"/>
      <c r="DC46" s="3"/>
      <c r="DD46" s="3"/>
      <c r="DE46" s="3"/>
      <c r="DF46" s="3"/>
      <c r="DG46" s="3"/>
      <c r="DH46" s="70"/>
      <c r="DI46" s="70"/>
      <c r="DJ46" s="3"/>
      <c r="DK46" s="3"/>
      <c r="DL46" s="3"/>
      <c r="DM46" s="3"/>
      <c r="DN46" s="3"/>
      <c r="DO46" s="53"/>
      <c r="DP46" s="319"/>
      <c r="DQ46" s="14"/>
      <c r="DR46" s="8"/>
      <c r="DS46" s="8"/>
      <c r="DT46" s="8"/>
      <c r="DU46" s="8"/>
      <c r="DV46" s="8"/>
      <c r="DW46" s="8"/>
      <c r="DX46" s="8"/>
      <c r="DY46" s="8"/>
      <c r="DZ46" s="8"/>
      <c r="EA46" s="8"/>
      <c r="EB46" s="8"/>
    </row>
    <row r="47" spans="2:132" x14ac:dyDescent="0.35">
      <c r="B47" s="117"/>
      <c r="C47" s="280" t="s">
        <v>175</v>
      </c>
      <c r="D47" s="13"/>
      <c r="E47" s="130"/>
      <c r="F47" s="434"/>
      <c r="G47" s="55"/>
      <c r="H47" s="530"/>
      <c r="I47" s="71"/>
      <c r="J47" s="71"/>
      <c r="K47" s="19"/>
      <c r="L47" s="71"/>
      <c r="M47" s="19"/>
      <c r="N47" s="19"/>
      <c r="O47" s="19"/>
      <c r="P47" s="71"/>
      <c r="Q47" s="147"/>
      <c r="R47" s="19"/>
      <c r="S47" s="19"/>
      <c r="T47" s="19"/>
      <c r="U47" s="19"/>
      <c r="V47" s="71"/>
      <c r="W47" s="19"/>
      <c r="X47" s="71"/>
      <c r="Y47" s="19"/>
      <c r="Z47" s="19"/>
      <c r="AA47" s="19"/>
      <c r="AB47" s="19"/>
      <c r="AC47" s="76"/>
      <c r="AD47" s="150"/>
      <c r="AE47" s="71"/>
      <c r="AF47" s="19"/>
      <c r="AG47" s="71"/>
      <c r="AH47" s="19"/>
      <c r="AI47" s="19"/>
      <c r="AJ47" s="19"/>
      <c r="AK47" s="71"/>
      <c r="AL47" s="19"/>
      <c r="AM47" s="19"/>
      <c r="AN47" s="19"/>
      <c r="AO47" s="19"/>
      <c r="AP47" s="71"/>
      <c r="AQ47" s="71"/>
      <c r="AR47" s="19"/>
      <c r="AS47" s="19"/>
      <c r="AT47" s="19"/>
      <c r="AU47" s="19"/>
      <c r="AV47" s="19"/>
      <c r="AW47" s="19"/>
      <c r="AX47" s="19"/>
      <c r="AY47" s="19"/>
      <c r="AZ47" s="71"/>
      <c r="BA47" s="19"/>
      <c r="BB47" s="19"/>
      <c r="BC47" s="71"/>
      <c r="BD47" s="71"/>
      <c r="BE47" s="19"/>
      <c r="BF47" s="19"/>
      <c r="BG47" s="19"/>
      <c r="BH47" s="19"/>
      <c r="BI47" s="19"/>
      <c r="BJ47" s="19"/>
      <c r="BK47" s="71"/>
      <c r="BL47" s="71"/>
      <c r="BM47" s="19"/>
      <c r="BN47" s="19"/>
      <c r="BO47" s="19"/>
      <c r="BP47" s="19"/>
      <c r="BQ47" s="19"/>
      <c r="BR47" s="19"/>
      <c r="BS47" s="19"/>
      <c r="BT47" s="19"/>
      <c r="BU47" s="19"/>
      <c r="BV47" s="19"/>
      <c r="BW47" s="19"/>
      <c r="BX47" s="19"/>
      <c r="BY47" s="19"/>
      <c r="BZ47" s="19"/>
      <c r="CA47" s="19"/>
      <c r="CB47" s="19"/>
      <c r="CC47" s="19"/>
      <c r="CD47" s="19"/>
      <c r="CE47" s="71"/>
      <c r="CF47" s="19"/>
      <c r="CG47" s="19"/>
      <c r="CH47" s="19"/>
      <c r="CI47" s="19"/>
      <c r="CJ47" s="71"/>
      <c r="CK47" s="263"/>
      <c r="CL47" s="19"/>
      <c r="CM47" s="19"/>
      <c r="CN47" s="19"/>
      <c r="CO47" s="19"/>
      <c r="CP47" s="19"/>
      <c r="CQ47" s="19"/>
      <c r="CR47" s="19"/>
      <c r="CS47" s="71"/>
      <c r="CT47" s="71"/>
      <c r="CU47" s="19"/>
      <c r="CV47" s="71"/>
      <c r="CW47" s="19"/>
      <c r="CX47" s="19"/>
      <c r="CY47" s="71"/>
      <c r="CZ47" s="71"/>
      <c r="DA47" s="19"/>
      <c r="DB47" s="19"/>
      <c r="DC47" s="19"/>
      <c r="DD47" s="19"/>
      <c r="DE47" s="19"/>
      <c r="DF47" s="19"/>
      <c r="DG47" s="19"/>
      <c r="DH47" s="71"/>
      <c r="DI47" s="71"/>
      <c r="DJ47" s="19"/>
      <c r="DK47" s="19"/>
      <c r="DL47" s="19"/>
      <c r="DM47" s="19"/>
      <c r="DN47" s="19"/>
      <c r="DO47" s="57"/>
      <c r="DP47" s="320"/>
      <c r="DQ47" s="14"/>
      <c r="DR47" s="8"/>
      <c r="DS47" s="8"/>
      <c r="DT47" s="8"/>
      <c r="DU47" s="8"/>
      <c r="DV47" s="8"/>
      <c r="DW47" s="8"/>
      <c r="DX47" s="8"/>
      <c r="DY47" s="8"/>
      <c r="DZ47" s="8"/>
      <c r="EA47" s="8"/>
      <c r="EB47" s="8"/>
    </row>
    <row r="48" spans="2:132" ht="16.5" x14ac:dyDescent="0.35">
      <c r="B48" s="128"/>
      <c r="C48" s="34"/>
      <c r="D48" s="9"/>
      <c r="E48" s="118" t="s">
        <v>347</v>
      </c>
      <c r="F48" s="134" t="s">
        <v>371</v>
      </c>
      <c r="G48" s="314" t="s">
        <v>145</v>
      </c>
      <c r="H48" s="548" t="s">
        <v>456</v>
      </c>
      <c r="I48" s="69" t="s">
        <v>78</v>
      </c>
      <c r="J48" s="69" t="s">
        <v>78</v>
      </c>
      <c r="K48" s="17">
        <v>1.6000000000000001E-3</v>
      </c>
      <c r="L48" s="69" t="s">
        <v>78</v>
      </c>
      <c r="M48" s="17" t="s">
        <v>78</v>
      </c>
      <c r="N48" s="17">
        <v>1.5E-3</v>
      </c>
      <c r="O48" s="40">
        <v>1E-4</v>
      </c>
      <c r="P48" s="69">
        <v>5.9999999999999995E-4</v>
      </c>
      <c r="Q48" s="138" t="s">
        <v>78</v>
      </c>
      <c r="R48" s="17">
        <v>4.1000000000000003E-3</v>
      </c>
      <c r="S48" s="17">
        <v>8.3000000000000001E-3</v>
      </c>
      <c r="T48" s="17">
        <v>3.0999999999999999E-3</v>
      </c>
      <c r="U48" s="60">
        <v>2E-3</v>
      </c>
      <c r="V48" s="69" t="s">
        <v>78</v>
      </c>
      <c r="W48" s="17">
        <v>3.8999999999999998E-3</v>
      </c>
      <c r="X48" s="69" t="s">
        <v>78</v>
      </c>
      <c r="Y48" s="17">
        <v>2.2000000000000001E-3</v>
      </c>
      <c r="Z48" s="17" t="s">
        <v>78</v>
      </c>
      <c r="AA48" s="17" t="s">
        <v>78</v>
      </c>
      <c r="AB48" s="17" t="s">
        <v>78</v>
      </c>
      <c r="AC48" s="77">
        <v>2.24E-2</v>
      </c>
      <c r="AD48" s="151" t="s">
        <v>78</v>
      </c>
      <c r="AE48" s="69" t="s">
        <v>78</v>
      </c>
      <c r="AF48" s="17">
        <v>0.7833</v>
      </c>
      <c r="AG48" s="69" t="s">
        <v>78</v>
      </c>
      <c r="AH48" s="17">
        <v>3.39E-2</v>
      </c>
      <c r="AI48" s="17" t="s">
        <v>78</v>
      </c>
      <c r="AJ48" s="60">
        <v>2.9</v>
      </c>
      <c r="AK48" s="69" t="s">
        <v>78</v>
      </c>
      <c r="AL48" s="17" t="s">
        <v>78</v>
      </c>
      <c r="AM48" s="17">
        <v>0.18629999999999999</v>
      </c>
      <c r="AN48" s="17" t="s">
        <v>78</v>
      </c>
      <c r="AO48" s="17" t="s">
        <v>78</v>
      </c>
      <c r="AP48" s="69" t="s">
        <v>78</v>
      </c>
      <c r="AQ48" s="69" t="s">
        <v>78</v>
      </c>
      <c r="AR48" s="17" t="s">
        <v>78</v>
      </c>
      <c r="AS48" s="17">
        <v>0.21740000000000001</v>
      </c>
      <c r="AT48" s="17" t="s">
        <v>78</v>
      </c>
      <c r="AU48" s="17" t="s">
        <v>78</v>
      </c>
      <c r="AV48" s="17" t="s">
        <v>78</v>
      </c>
      <c r="AW48" s="17">
        <v>2.0000000000000001E-4</v>
      </c>
      <c r="AX48" s="17" t="s">
        <v>78</v>
      </c>
      <c r="AY48" s="17" t="s">
        <v>78</v>
      </c>
      <c r="AZ48" s="69" t="s">
        <v>78</v>
      </c>
      <c r="BA48" s="17" t="s">
        <v>78</v>
      </c>
      <c r="BB48" s="17" t="s">
        <v>78</v>
      </c>
      <c r="BC48" s="69" t="s">
        <v>78</v>
      </c>
      <c r="BD48" s="69" t="s">
        <v>78</v>
      </c>
      <c r="BE48" s="17" t="s">
        <v>78</v>
      </c>
      <c r="BF48" s="17" t="s">
        <v>78</v>
      </c>
      <c r="BG48" s="17">
        <v>1.09E-2</v>
      </c>
      <c r="BH48" s="17" t="s">
        <v>78</v>
      </c>
      <c r="BI48" s="17" t="s">
        <v>78</v>
      </c>
      <c r="BJ48" s="17" t="s">
        <v>78</v>
      </c>
      <c r="BK48" s="69" t="s">
        <v>78</v>
      </c>
      <c r="BL48" s="69" t="s">
        <v>78</v>
      </c>
      <c r="BM48" s="17">
        <v>1.7261</v>
      </c>
      <c r="BN48" s="17" t="s">
        <v>78</v>
      </c>
      <c r="BO48" s="17" t="s">
        <v>78</v>
      </c>
      <c r="BP48" s="17" t="s">
        <v>78</v>
      </c>
      <c r="BQ48" s="17" t="s">
        <v>78</v>
      </c>
      <c r="BR48" s="17" t="s">
        <v>78</v>
      </c>
      <c r="BS48" s="17" t="s">
        <v>78</v>
      </c>
      <c r="BT48" s="17" t="s">
        <v>78</v>
      </c>
      <c r="BU48" s="17" t="s">
        <v>78</v>
      </c>
      <c r="BV48" s="17" t="s">
        <v>78</v>
      </c>
      <c r="BW48" s="17" t="s">
        <v>78</v>
      </c>
      <c r="BX48" s="17">
        <v>2.69E-2</v>
      </c>
      <c r="BY48" s="17">
        <v>0.18629999999999999</v>
      </c>
      <c r="BZ48" s="17" t="s">
        <v>78</v>
      </c>
      <c r="CA48" s="17" t="s">
        <v>78</v>
      </c>
      <c r="CB48" s="17" t="s">
        <v>78</v>
      </c>
      <c r="CC48" s="17" t="s">
        <v>78</v>
      </c>
      <c r="CD48" s="17" t="s">
        <v>78</v>
      </c>
      <c r="CE48" s="69" t="s">
        <v>78</v>
      </c>
      <c r="CF48" s="17" t="s">
        <v>78</v>
      </c>
      <c r="CG48" s="17" t="s">
        <v>78</v>
      </c>
      <c r="CH48" s="17" t="s">
        <v>78</v>
      </c>
      <c r="CI48" s="17" t="s">
        <v>78</v>
      </c>
      <c r="CJ48" s="69" t="s">
        <v>78</v>
      </c>
      <c r="CK48" s="60">
        <v>1.9699999999999999E-2</v>
      </c>
      <c r="CL48" s="17" t="s">
        <v>78</v>
      </c>
      <c r="CM48" s="17" t="s">
        <v>78</v>
      </c>
      <c r="CN48" s="17">
        <v>3.6200000000000003E-2</v>
      </c>
      <c r="CO48" s="17" t="s">
        <v>78</v>
      </c>
      <c r="CP48" s="17" t="s">
        <v>78</v>
      </c>
      <c r="CQ48" s="17" t="s">
        <v>78</v>
      </c>
      <c r="CR48" s="17" t="s">
        <v>78</v>
      </c>
      <c r="CS48" s="69" t="s">
        <v>78</v>
      </c>
      <c r="CT48" s="69" t="s">
        <v>78</v>
      </c>
      <c r="CU48" s="17" t="s">
        <v>78</v>
      </c>
      <c r="CV48" s="69" t="s">
        <v>78</v>
      </c>
      <c r="CW48" s="60">
        <v>0.46700000000000003</v>
      </c>
      <c r="CX48" s="17" t="s">
        <v>78</v>
      </c>
      <c r="CY48" s="69" t="s">
        <v>78</v>
      </c>
      <c r="CZ48" s="69" t="s">
        <v>78</v>
      </c>
      <c r="DA48" s="17" t="s">
        <v>78</v>
      </c>
      <c r="DB48" s="17" t="s">
        <v>78</v>
      </c>
      <c r="DC48" s="17" t="s">
        <v>78</v>
      </c>
      <c r="DD48" s="17" t="s">
        <v>78</v>
      </c>
      <c r="DE48" s="17">
        <v>0.10539999999999999</v>
      </c>
      <c r="DF48" s="17" t="s">
        <v>78</v>
      </c>
      <c r="DG48" s="17" t="s">
        <v>78</v>
      </c>
      <c r="DH48" s="69" t="s">
        <v>78</v>
      </c>
      <c r="DI48" s="69" t="s">
        <v>78</v>
      </c>
      <c r="DJ48" s="17" t="s">
        <v>78</v>
      </c>
      <c r="DK48" s="17" t="s">
        <v>78</v>
      </c>
      <c r="DL48" s="17" t="s">
        <v>78</v>
      </c>
      <c r="DM48" s="17" t="s">
        <v>78</v>
      </c>
      <c r="DN48" s="17">
        <v>4.24E-2</v>
      </c>
      <c r="DO48" s="17" t="s">
        <v>78</v>
      </c>
      <c r="DP48" s="52" t="s">
        <v>78</v>
      </c>
      <c r="DQ48" s="14"/>
      <c r="DR48" s="8"/>
      <c r="DS48" s="8"/>
      <c r="DT48" s="8"/>
      <c r="DU48" s="8"/>
      <c r="DV48" s="8"/>
      <c r="DW48" s="8"/>
      <c r="DX48" s="8"/>
      <c r="DY48" s="8"/>
      <c r="DZ48" s="8"/>
      <c r="EA48" s="8"/>
      <c r="EB48" s="8"/>
    </row>
    <row r="49" spans="1:158" ht="15" thickBot="1" x14ac:dyDescent="0.4">
      <c r="B49" s="127"/>
      <c r="C49" s="283"/>
      <c r="D49" s="11"/>
      <c r="E49" s="131"/>
      <c r="F49" s="435"/>
      <c r="G49" s="56"/>
      <c r="H49" s="529"/>
      <c r="I49" s="99"/>
      <c r="J49" s="99"/>
      <c r="K49" s="53"/>
      <c r="L49" s="99"/>
      <c r="M49" s="53"/>
      <c r="N49" s="53"/>
      <c r="O49" s="106"/>
      <c r="P49" s="99"/>
      <c r="Q49" s="175"/>
      <c r="R49" s="53"/>
      <c r="S49" s="53"/>
      <c r="T49" s="53"/>
      <c r="U49" s="53"/>
      <c r="V49" s="99"/>
      <c r="W49" s="53"/>
      <c r="X49" s="99"/>
      <c r="Y49" s="53"/>
      <c r="Z49" s="53"/>
      <c r="AA49" s="53"/>
      <c r="AB49" s="53"/>
      <c r="AC49" s="109"/>
      <c r="AD49" s="177"/>
      <c r="AE49" s="99"/>
      <c r="AF49" s="53"/>
      <c r="AG49" s="99"/>
      <c r="AH49" s="53"/>
      <c r="AI49" s="53"/>
      <c r="AJ49" s="105"/>
      <c r="AK49" s="99"/>
      <c r="AL49" s="53"/>
      <c r="AM49" s="53"/>
      <c r="AN49" s="53"/>
      <c r="AO49" s="53"/>
      <c r="AP49" s="99"/>
      <c r="AQ49" s="99"/>
      <c r="AR49" s="53"/>
      <c r="AS49" s="53"/>
      <c r="AT49" s="53"/>
      <c r="AU49" s="53"/>
      <c r="AV49" s="53"/>
      <c r="AW49" s="53"/>
      <c r="AX49" s="53"/>
      <c r="AY49" s="53"/>
      <c r="AZ49" s="99"/>
      <c r="BA49" s="53"/>
      <c r="BB49" s="53"/>
      <c r="BC49" s="99"/>
      <c r="BD49" s="99"/>
      <c r="BE49" s="53"/>
      <c r="BF49" s="53"/>
      <c r="BG49" s="53"/>
      <c r="BH49" s="53"/>
      <c r="BI49" s="53"/>
      <c r="BJ49" s="53"/>
      <c r="BK49" s="99"/>
      <c r="BL49" s="99"/>
      <c r="BM49" s="53"/>
      <c r="BN49" s="53"/>
      <c r="BO49" s="53"/>
      <c r="BP49" s="53"/>
      <c r="BQ49" s="53"/>
      <c r="BR49" s="53"/>
      <c r="BS49" s="53"/>
      <c r="BT49" s="53"/>
      <c r="BU49" s="53"/>
      <c r="BV49" s="53"/>
      <c r="BW49" s="53"/>
      <c r="BX49" s="53"/>
      <c r="BY49" s="53"/>
      <c r="BZ49" s="53"/>
      <c r="CA49" s="53"/>
      <c r="CB49" s="53"/>
      <c r="CC49" s="53"/>
      <c r="CD49" s="53"/>
      <c r="CE49" s="99"/>
      <c r="CF49" s="53"/>
      <c r="CG49" s="53"/>
      <c r="CH49" s="53"/>
      <c r="CI49" s="53"/>
      <c r="CJ49" s="99"/>
      <c r="CK49" s="266"/>
      <c r="CL49" s="53"/>
      <c r="CM49" s="53"/>
      <c r="CN49" s="53"/>
      <c r="CO49" s="53"/>
      <c r="CP49" s="53"/>
      <c r="CQ49" s="53"/>
      <c r="CR49" s="53"/>
      <c r="CS49" s="99"/>
      <c r="CT49" s="99"/>
      <c r="CU49" s="53"/>
      <c r="CV49" s="99"/>
      <c r="CW49" s="53"/>
      <c r="CX49" s="53"/>
      <c r="CY49" s="99"/>
      <c r="CZ49" s="99"/>
      <c r="DA49" s="53"/>
      <c r="DB49" s="53"/>
      <c r="DC49" s="53"/>
      <c r="DD49" s="53"/>
      <c r="DE49" s="53"/>
      <c r="DF49" s="53"/>
      <c r="DG49" s="53"/>
      <c r="DH49" s="99"/>
      <c r="DI49" s="99"/>
      <c r="DJ49" s="53"/>
      <c r="DK49" s="53"/>
      <c r="DL49" s="53"/>
      <c r="DM49" s="53"/>
      <c r="DN49" s="53"/>
      <c r="DO49" s="53"/>
      <c r="DP49" s="319"/>
      <c r="DQ49" s="14"/>
      <c r="DR49" s="8"/>
      <c r="DS49" s="8"/>
      <c r="DT49" s="8"/>
      <c r="DU49" s="8"/>
      <c r="DV49" s="8"/>
      <c r="DW49" s="8"/>
      <c r="DX49" s="8"/>
      <c r="DY49" s="8"/>
      <c r="DZ49" s="8"/>
      <c r="EA49" s="8"/>
      <c r="EB49" s="8"/>
    </row>
    <row r="50" spans="1:158" x14ac:dyDescent="0.35">
      <c r="B50" s="117"/>
      <c r="C50" s="280" t="s">
        <v>176</v>
      </c>
      <c r="D50" s="13"/>
      <c r="E50" s="130"/>
      <c r="F50" s="434"/>
      <c r="G50" s="55"/>
      <c r="H50" s="530"/>
      <c r="I50" s="101"/>
      <c r="J50" s="101"/>
      <c r="K50" s="57"/>
      <c r="L50" s="101"/>
      <c r="M50" s="57"/>
      <c r="N50" s="57"/>
      <c r="O50" s="258"/>
      <c r="P50" s="101"/>
      <c r="Q50" s="168"/>
      <c r="R50" s="57"/>
      <c r="S50" s="57"/>
      <c r="T50" s="57"/>
      <c r="U50" s="57"/>
      <c r="V50" s="101"/>
      <c r="W50" s="57"/>
      <c r="X50" s="101"/>
      <c r="Y50" s="57"/>
      <c r="Z50" s="57"/>
      <c r="AA50" s="57"/>
      <c r="AB50" s="57"/>
      <c r="AC50" s="110"/>
      <c r="AD50" s="151"/>
      <c r="AE50" s="69"/>
      <c r="AF50" s="17"/>
      <c r="AG50" s="69"/>
      <c r="AH50" s="17"/>
      <c r="AI50" s="17"/>
      <c r="AJ50" s="60"/>
      <c r="AK50" s="69"/>
      <c r="AL50" s="17"/>
      <c r="AM50" s="17"/>
      <c r="AN50" s="17"/>
      <c r="AO50" s="17"/>
      <c r="AP50" s="69"/>
      <c r="AQ50" s="69"/>
      <c r="AR50" s="17"/>
      <c r="AS50" s="17"/>
      <c r="AT50" s="17"/>
      <c r="AU50" s="17"/>
      <c r="AV50" s="17"/>
      <c r="AW50" s="17"/>
      <c r="AX50" s="17"/>
      <c r="AY50" s="17"/>
      <c r="AZ50" s="69"/>
      <c r="BA50" s="17"/>
      <c r="BB50" s="17"/>
      <c r="BC50" s="69"/>
      <c r="BD50" s="69"/>
      <c r="BE50" s="17"/>
      <c r="BF50" s="17"/>
      <c r="BG50" s="17"/>
      <c r="BH50" s="17"/>
      <c r="BI50" s="17"/>
      <c r="BJ50" s="17"/>
      <c r="BK50" s="69"/>
      <c r="BL50" s="69"/>
      <c r="BM50" s="17"/>
      <c r="BN50" s="17"/>
      <c r="BO50" s="17"/>
      <c r="BP50" s="17"/>
      <c r="BQ50" s="17"/>
      <c r="BR50" s="17"/>
      <c r="BS50" s="17"/>
      <c r="BT50" s="17"/>
      <c r="BU50" s="17"/>
      <c r="BV50" s="17"/>
      <c r="BW50" s="17"/>
      <c r="BX50" s="17"/>
      <c r="BY50" s="17"/>
      <c r="BZ50" s="17"/>
      <c r="CA50" s="17"/>
      <c r="CB50" s="17"/>
      <c r="CC50" s="17"/>
      <c r="CD50" s="17"/>
      <c r="CE50" s="69"/>
      <c r="CF50" s="17"/>
      <c r="CG50" s="17"/>
      <c r="CH50" s="17"/>
      <c r="CI50" s="17"/>
      <c r="CJ50" s="69"/>
      <c r="CK50" s="93"/>
      <c r="CL50" s="17"/>
      <c r="CM50" s="17"/>
      <c r="CN50" s="17"/>
      <c r="CO50" s="17"/>
      <c r="CP50" s="17"/>
      <c r="CQ50" s="17"/>
      <c r="CR50" s="17"/>
      <c r="CS50" s="69"/>
      <c r="CT50" s="69"/>
      <c r="CU50" s="17"/>
      <c r="CV50" s="69"/>
      <c r="CW50" s="17"/>
      <c r="CX50" s="17"/>
      <c r="CY50" s="69"/>
      <c r="CZ50" s="69"/>
      <c r="DA50" s="17"/>
      <c r="DB50" s="17"/>
      <c r="DC50" s="17"/>
      <c r="DD50" s="17"/>
      <c r="DE50" s="17"/>
      <c r="DF50" s="17"/>
      <c r="DG50" s="17"/>
      <c r="DH50" s="69"/>
      <c r="DI50" s="69"/>
      <c r="DJ50" s="17"/>
      <c r="DK50" s="17"/>
      <c r="DL50" s="17"/>
      <c r="DM50" s="17"/>
      <c r="DN50" s="17"/>
      <c r="DO50" s="17"/>
      <c r="DP50" s="52"/>
      <c r="DQ50" s="14"/>
      <c r="DR50" s="8"/>
      <c r="DS50" s="8"/>
      <c r="DT50" s="8"/>
      <c r="DU50" s="8"/>
      <c r="DV50" s="8"/>
      <c r="DW50" s="8"/>
      <c r="DX50" s="8"/>
      <c r="DY50" s="8"/>
      <c r="DZ50" s="8"/>
      <c r="EA50" s="8"/>
      <c r="EB50" s="8"/>
    </row>
    <row r="51" spans="1:158" ht="16.5" x14ac:dyDescent="0.35">
      <c r="B51" s="126"/>
      <c r="C51" s="282"/>
      <c r="D51" s="9">
        <v>28000212</v>
      </c>
      <c r="E51" s="118" t="s">
        <v>137</v>
      </c>
      <c r="F51" s="189" t="s">
        <v>372</v>
      </c>
      <c r="G51" s="314" t="s">
        <v>145</v>
      </c>
      <c r="H51" s="548" t="s">
        <v>456</v>
      </c>
      <c r="I51" s="98" t="s">
        <v>78</v>
      </c>
      <c r="J51" s="98" t="s">
        <v>78</v>
      </c>
      <c r="K51" s="60">
        <v>1.6000000000000001E-3</v>
      </c>
      <c r="L51" s="98" t="s">
        <v>78</v>
      </c>
      <c r="M51" s="60" t="s">
        <v>78</v>
      </c>
      <c r="N51" s="60">
        <v>1.5E-3</v>
      </c>
      <c r="O51" s="60">
        <v>1E-4</v>
      </c>
      <c r="P51" s="98">
        <v>5.9999999999999995E-4</v>
      </c>
      <c r="Q51" s="137" t="s">
        <v>78</v>
      </c>
      <c r="R51" s="60">
        <v>4.1000000000000003E-3</v>
      </c>
      <c r="S51" s="60">
        <v>8.3000000000000001E-3</v>
      </c>
      <c r="T51" s="60">
        <v>3.0999999999999999E-3</v>
      </c>
      <c r="U51" s="60">
        <v>2E-3</v>
      </c>
      <c r="V51" s="98" t="s">
        <v>78</v>
      </c>
      <c r="W51" s="60">
        <v>3.8999999999999998E-3</v>
      </c>
      <c r="X51" s="98" t="s">
        <v>78</v>
      </c>
      <c r="Y51" s="60">
        <v>2.2000000000000001E-3</v>
      </c>
      <c r="Z51" s="60" t="s">
        <v>78</v>
      </c>
      <c r="AA51" s="60" t="s">
        <v>78</v>
      </c>
      <c r="AB51" s="60" t="s">
        <v>78</v>
      </c>
      <c r="AC51" s="114">
        <v>2.24E-2</v>
      </c>
      <c r="AD51" s="327">
        <f>0.00000142*0.137*10^3</f>
        <v>1.9454000000000002E-4</v>
      </c>
      <c r="AE51" s="115">
        <f>0.00000506*0.137*10^3</f>
        <v>6.9322000000000003E-4</v>
      </c>
      <c r="AF51" s="92">
        <f>0.000767*0.137*10^3</f>
        <v>0.10507900000000001</v>
      </c>
      <c r="AG51" s="201" t="s">
        <v>78</v>
      </c>
      <c r="AH51" s="60">
        <f>0.0000925*0.137*10^3</f>
        <v>1.2672500000000001E-2</v>
      </c>
      <c r="AI51" s="93" t="s">
        <v>78</v>
      </c>
      <c r="AJ51" s="93" t="s">
        <v>78</v>
      </c>
      <c r="AK51" s="115">
        <f>0.00000187*0.137*10^3</f>
        <v>2.5619E-4</v>
      </c>
      <c r="AL51" s="183">
        <f>0.00000168*0.137*10^3</f>
        <v>2.3016000000000001E-4</v>
      </c>
      <c r="AM51" s="92">
        <f>0.000933*0.137*10^3</f>
        <v>0.12782100000000002</v>
      </c>
      <c r="AN51" s="95">
        <f>0.000000188*0.137*10^3</f>
        <v>2.5755999999999999E-5</v>
      </c>
      <c r="AO51" s="95">
        <f>0.0000000991*0.137*10^3</f>
        <v>1.35767E-5</v>
      </c>
      <c r="AP51" s="98" t="s">
        <v>78</v>
      </c>
      <c r="AQ51" s="135">
        <f>0.000000489*0.137*10^3</f>
        <v>6.6993000000000014E-5</v>
      </c>
      <c r="AR51" s="95">
        <f>0.000000155*0.137*10^3</f>
        <v>2.1235000000000003E-5</v>
      </c>
      <c r="AS51" s="23">
        <f>0.0000391*0.137*10^3</f>
        <v>5.3567000000000007E-3</v>
      </c>
      <c r="AT51" s="60" t="s">
        <v>78</v>
      </c>
      <c r="AU51" s="60" t="s">
        <v>78</v>
      </c>
      <c r="AV51" s="60" t="s">
        <v>78</v>
      </c>
      <c r="AW51" s="60">
        <v>2.0000000000000001E-4</v>
      </c>
      <c r="AX51" s="60" t="s">
        <v>78</v>
      </c>
      <c r="AY51" s="95">
        <f>0.000000353*0.137*10^3</f>
        <v>4.8361000000000007E-5</v>
      </c>
      <c r="AZ51" s="98" t="s">
        <v>78</v>
      </c>
      <c r="BA51" s="95">
        <f>0.000000583*0.137*10^3</f>
        <v>7.9870999999999995E-5</v>
      </c>
      <c r="BB51" s="95" t="s">
        <v>78</v>
      </c>
      <c r="BC51" s="98" t="s">
        <v>78</v>
      </c>
      <c r="BD51" s="98" t="s">
        <v>78</v>
      </c>
      <c r="BE51" s="60" t="s">
        <v>78</v>
      </c>
      <c r="BF51" s="60" t="s">
        <v>78</v>
      </c>
      <c r="BG51" s="60">
        <v>1.09E-2</v>
      </c>
      <c r="BH51" s="60" t="s">
        <v>78</v>
      </c>
      <c r="BI51" s="60" t="s">
        <v>78</v>
      </c>
      <c r="BJ51" s="60" t="s">
        <v>78</v>
      </c>
      <c r="BK51" s="111">
        <f>0.00000761*0.137*10^3</f>
        <v>1.04257E-3</v>
      </c>
      <c r="BL51" s="111">
        <f>0.0000292*0.137*10^3</f>
        <v>4.0004000000000003E-3</v>
      </c>
      <c r="BM51" s="92">
        <f>0.00118*0.137*10^3</f>
        <v>0.16166000000000003</v>
      </c>
      <c r="BN51" s="60" t="s">
        <v>78</v>
      </c>
      <c r="BO51" s="60" t="s">
        <v>78</v>
      </c>
      <c r="BP51" s="60" t="s">
        <v>78</v>
      </c>
      <c r="BQ51" s="60" t="s">
        <v>78</v>
      </c>
      <c r="BR51" s="60" t="s">
        <v>78</v>
      </c>
      <c r="BS51" s="60" t="s">
        <v>78</v>
      </c>
      <c r="BT51" s="60" t="s">
        <v>78</v>
      </c>
      <c r="BU51" s="60" t="s">
        <v>78</v>
      </c>
      <c r="BV51" s="60" t="s">
        <v>78</v>
      </c>
      <c r="BW51" s="60" t="s">
        <v>78</v>
      </c>
      <c r="BX51" s="60">
        <v>2.69E-2</v>
      </c>
      <c r="BY51" s="60">
        <v>0.18629999999999999</v>
      </c>
      <c r="BZ51" s="17" t="s">
        <v>78</v>
      </c>
      <c r="CA51" s="17" t="s">
        <v>78</v>
      </c>
      <c r="CB51" s="95">
        <f>0.000000375*0.137*10^3</f>
        <v>5.1375000000000009E-5</v>
      </c>
      <c r="CC51" s="60" t="s">
        <v>78</v>
      </c>
      <c r="CD51" s="60" t="s">
        <v>78</v>
      </c>
      <c r="CE51" s="98" t="s">
        <v>78</v>
      </c>
      <c r="CF51" s="60" t="s">
        <v>78</v>
      </c>
      <c r="CG51" s="60" t="s">
        <v>78</v>
      </c>
      <c r="CH51" s="60" t="s">
        <v>78</v>
      </c>
      <c r="CI51" s="60" t="s">
        <v>78</v>
      </c>
      <c r="CJ51" s="98" t="s">
        <v>78</v>
      </c>
      <c r="CK51" s="60">
        <f>0.0000848*0.137*10^3</f>
        <v>1.16176E-2</v>
      </c>
      <c r="CL51" s="60" t="s">
        <v>78</v>
      </c>
      <c r="CM51" s="60" t="s">
        <v>78</v>
      </c>
      <c r="CN51" s="60" t="s">
        <v>78</v>
      </c>
      <c r="CO51" s="60" t="s">
        <v>78</v>
      </c>
      <c r="CP51" s="60" t="s">
        <v>78</v>
      </c>
      <c r="CQ51" s="60" t="s">
        <v>78</v>
      </c>
      <c r="CR51" s="60" t="s">
        <v>78</v>
      </c>
      <c r="CS51" s="98" t="s">
        <v>78</v>
      </c>
      <c r="CT51" s="111">
        <f>0.0000294*0.137*10^3</f>
        <v>4.0278000000000007E-3</v>
      </c>
      <c r="CU51" s="17" t="s">
        <v>78</v>
      </c>
      <c r="CV51" s="200" t="s">
        <v>78</v>
      </c>
      <c r="CW51" s="92">
        <f>0.00258*0.137*10^3</f>
        <v>0.35346</v>
      </c>
      <c r="CX51" s="60" t="s">
        <v>78</v>
      </c>
      <c r="CY51" s="115">
        <f>0.00000478*0.137*10^3</f>
        <v>6.5486000000000006E-4</v>
      </c>
      <c r="CZ51" s="98" t="s">
        <v>78</v>
      </c>
      <c r="DA51" s="60" t="s">
        <v>78</v>
      </c>
      <c r="DB51" s="60" t="s">
        <v>78</v>
      </c>
      <c r="DC51" s="60" t="s">
        <v>78</v>
      </c>
      <c r="DD51" s="60" t="s">
        <v>78</v>
      </c>
      <c r="DE51" s="60">
        <f>0.000409*0.137*10^3</f>
        <v>5.6033000000000013E-2</v>
      </c>
      <c r="DF51" s="60" t="s">
        <v>78</v>
      </c>
      <c r="DG51" s="60" t="s">
        <v>78</v>
      </c>
      <c r="DH51" s="98" t="s">
        <v>78</v>
      </c>
      <c r="DI51" s="135" t="s">
        <v>78</v>
      </c>
      <c r="DJ51" s="60" t="s">
        <v>78</v>
      </c>
      <c r="DK51" s="60" t="s">
        <v>78</v>
      </c>
      <c r="DL51" s="60" t="s">
        <v>78</v>
      </c>
      <c r="DM51" s="60" t="s">
        <v>78</v>
      </c>
      <c r="DN51" s="60">
        <f>0.000285*0.137*10^3</f>
        <v>3.9045000000000003E-2</v>
      </c>
      <c r="DO51" s="60" t="s">
        <v>78</v>
      </c>
      <c r="DP51" s="329" t="s">
        <v>78</v>
      </c>
      <c r="DQ51" s="14"/>
      <c r="DR51" s="8"/>
      <c r="DS51" s="8"/>
      <c r="DT51" s="8"/>
      <c r="DU51" s="8"/>
      <c r="DV51" s="8"/>
      <c r="DW51" s="8"/>
      <c r="DX51" s="8"/>
      <c r="DY51" s="8"/>
      <c r="DZ51" s="8"/>
      <c r="EA51" s="8"/>
      <c r="EB51" s="8"/>
    </row>
    <row r="52" spans="1:158" ht="16.5" x14ac:dyDescent="0.35">
      <c r="B52" s="126"/>
      <c r="C52" s="282"/>
      <c r="D52" s="9">
        <v>28000217</v>
      </c>
      <c r="E52" s="118" t="s">
        <v>138</v>
      </c>
      <c r="F52" s="189" t="s">
        <v>372</v>
      </c>
      <c r="G52" s="314" t="s">
        <v>145</v>
      </c>
      <c r="H52" s="548" t="s">
        <v>456</v>
      </c>
      <c r="I52" s="98" t="s">
        <v>78</v>
      </c>
      <c r="J52" s="98" t="s">
        <v>78</v>
      </c>
      <c r="K52" s="60">
        <v>1.6000000000000001E-3</v>
      </c>
      <c r="L52" s="98" t="s">
        <v>78</v>
      </c>
      <c r="M52" s="60" t="s">
        <v>78</v>
      </c>
      <c r="N52" s="60">
        <v>1.5E-3</v>
      </c>
      <c r="O52" s="60">
        <v>1E-4</v>
      </c>
      <c r="P52" s="98">
        <v>5.9999999999999995E-4</v>
      </c>
      <c r="Q52" s="137" t="s">
        <v>78</v>
      </c>
      <c r="R52" s="60">
        <v>4.1000000000000003E-3</v>
      </c>
      <c r="S52" s="60">
        <v>8.3000000000000001E-3</v>
      </c>
      <c r="T52" s="60">
        <v>3.0999999999999999E-3</v>
      </c>
      <c r="U52" s="60">
        <v>2E-3</v>
      </c>
      <c r="V52" s="98" t="s">
        <v>78</v>
      </c>
      <c r="W52" s="60">
        <v>3.8999999999999998E-3</v>
      </c>
      <c r="X52" s="98" t="s">
        <v>78</v>
      </c>
      <c r="Y52" s="60">
        <v>2.2000000000000001E-3</v>
      </c>
      <c r="Z52" s="60" t="s">
        <v>78</v>
      </c>
      <c r="AA52" s="60" t="s">
        <v>78</v>
      </c>
      <c r="AB52" s="60" t="s">
        <v>78</v>
      </c>
      <c r="AC52" s="114">
        <v>2.24E-2</v>
      </c>
      <c r="AD52" s="327">
        <f>0.00000142*0.137*10^3</f>
        <v>1.9454000000000002E-4</v>
      </c>
      <c r="AE52" s="115">
        <f>0.00000506*0.137*10^3</f>
        <v>6.9322000000000003E-4</v>
      </c>
      <c r="AF52" s="92">
        <f>0.000767*0.137*10^3</f>
        <v>0.10507900000000001</v>
      </c>
      <c r="AG52" s="201" t="s">
        <v>78</v>
      </c>
      <c r="AH52" s="60">
        <f>0.0000925*0.137*10^3</f>
        <v>1.2672500000000001E-2</v>
      </c>
      <c r="AI52" s="93" t="s">
        <v>78</v>
      </c>
      <c r="AJ52" s="93" t="s">
        <v>78</v>
      </c>
      <c r="AK52" s="115">
        <f>0.00000187*0.137*10^3</f>
        <v>2.5619E-4</v>
      </c>
      <c r="AL52" s="183">
        <f>0.00000168*0.137*10^3</f>
        <v>2.3016000000000001E-4</v>
      </c>
      <c r="AM52" s="92">
        <f>0.000933*0.137*10^3</f>
        <v>0.12782100000000002</v>
      </c>
      <c r="AN52" s="95">
        <f>0.000000188*0.137*10^3</f>
        <v>2.5755999999999999E-5</v>
      </c>
      <c r="AO52" s="95">
        <f>0.0000000991*0.137*10^3</f>
        <v>1.35767E-5</v>
      </c>
      <c r="AP52" s="98" t="s">
        <v>78</v>
      </c>
      <c r="AQ52" s="135">
        <f>0.000000489*0.137*10^3</f>
        <v>6.6993000000000014E-5</v>
      </c>
      <c r="AR52" s="95">
        <f>0.000000155*0.137*10^3</f>
        <v>2.1235000000000003E-5</v>
      </c>
      <c r="AS52" s="23">
        <f>0.0000391*0.137*10^3</f>
        <v>5.3567000000000007E-3</v>
      </c>
      <c r="AT52" s="60" t="s">
        <v>78</v>
      </c>
      <c r="AU52" s="60" t="s">
        <v>78</v>
      </c>
      <c r="AV52" s="60" t="s">
        <v>78</v>
      </c>
      <c r="AW52" s="60">
        <v>2.0000000000000001E-4</v>
      </c>
      <c r="AX52" s="60" t="s">
        <v>78</v>
      </c>
      <c r="AY52" s="95">
        <f>0.000000353*0.137*10^3</f>
        <v>4.8361000000000007E-5</v>
      </c>
      <c r="AZ52" s="98" t="s">
        <v>78</v>
      </c>
      <c r="BA52" s="95">
        <f>0.000000583*0.137*10^3</f>
        <v>7.9870999999999995E-5</v>
      </c>
      <c r="BB52" s="95" t="s">
        <v>78</v>
      </c>
      <c r="BC52" s="98" t="s">
        <v>78</v>
      </c>
      <c r="BD52" s="98" t="s">
        <v>78</v>
      </c>
      <c r="BE52" s="60" t="s">
        <v>78</v>
      </c>
      <c r="BF52" s="60" t="s">
        <v>78</v>
      </c>
      <c r="BG52" s="60">
        <v>1.09E-2</v>
      </c>
      <c r="BH52" s="60" t="s">
        <v>78</v>
      </c>
      <c r="BI52" s="60" t="s">
        <v>78</v>
      </c>
      <c r="BJ52" s="60" t="s">
        <v>78</v>
      </c>
      <c r="BK52" s="111">
        <f>0.00000761*0.137*10^3</f>
        <v>1.04257E-3</v>
      </c>
      <c r="BL52" s="111">
        <f>0.0000292*0.137*10^3</f>
        <v>4.0004000000000003E-3</v>
      </c>
      <c r="BM52" s="92">
        <f>0.00118*0.137*10^3</f>
        <v>0.16166000000000003</v>
      </c>
      <c r="BN52" s="60" t="s">
        <v>78</v>
      </c>
      <c r="BO52" s="60" t="s">
        <v>78</v>
      </c>
      <c r="BP52" s="60" t="s">
        <v>78</v>
      </c>
      <c r="BQ52" s="60" t="s">
        <v>78</v>
      </c>
      <c r="BR52" s="60" t="s">
        <v>78</v>
      </c>
      <c r="BS52" s="60" t="s">
        <v>78</v>
      </c>
      <c r="BT52" s="60" t="s">
        <v>78</v>
      </c>
      <c r="BU52" s="60" t="s">
        <v>78</v>
      </c>
      <c r="BV52" s="60" t="s">
        <v>78</v>
      </c>
      <c r="BW52" s="60" t="s">
        <v>78</v>
      </c>
      <c r="BX52" s="60">
        <v>2.69E-2</v>
      </c>
      <c r="BY52" s="60">
        <v>0.18629999999999999</v>
      </c>
      <c r="BZ52" s="17" t="s">
        <v>78</v>
      </c>
      <c r="CA52" s="17" t="s">
        <v>78</v>
      </c>
      <c r="CB52" s="95">
        <f>0.000000375*0.137*10^3</f>
        <v>5.1375000000000009E-5</v>
      </c>
      <c r="CC52" s="60" t="s">
        <v>78</v>
      </c>
      <c r="CD52" s="60" t="s">
        <v>78</v>
      </c>
      <c r="CE52" s="98" t="s">
        <v>78</v>
      </c>
      <c r="CF52" s="60" t="s">
        <v>78</v>
      </c>
      <c r="CG52" s="60" t="s">
        <v>78</v>
      </c>
      <c r="CH52" s="60" t="s">
        <v>78</v>
      </c>
      <c r="CI52" s="60" t="s">
        <v>78</v>
      </c>
      <c r="CJ52" s="98" t="s">
        <v>78</v>
      </c>
      <c r="CK52" s="60">
        <f>0.0000848*0.137*10^3</f>
        <v>1.16176E-2</v>
      </c>
      <c r="CL52" s="60" t="s">
        <v>78</v>
      </c>
      <c r="CM52" s="60" t="s">
        <v>78</v>
      </c>
      <c r="CN52" s="60" t="s">
        <v>78</v>
      </c>
      <c r="CO52" s="60" t="s">
        <v>78</v>
      </c>
      <c r="CP52" s="60" t="s">
        <v>78</v>
      </c>
      <c r="CQ52" s="60" t="s">
        <v>78</v>
      </c>
      <c r="CR52" s="60" t="s">
        <v>78</v>
      </c>
      <c r="CS52" s="98" t="s">
        <v>78</v>
      </c>
      <c r="CT52" s="111">
        <f>0.0000294*0.137*10^3</f>
        <v>4.0278000000000007E-3</v>
      </c>
      <c r="CU52" s="17" t="s">
        <v>78</v>
      </c>
      <c r="CV52" s="200" t="s">
        <v>78</v>
      </c>
      <c r="CW52" s="92">
        <f>0.00258*0.137*10^3</f>
        <v>0.35346</v>
      </c>
      <c r="CX52" s="60" t="s">
        <v>78</v>
      </c>
      <c r="CY52" s="115">
        <f>0.00000478*0.137*10^3</f>
        <v>6.5486000000000006E-4</v>
      </c>
      <c r="CZ52" s="98" t="s">
        <v>78</v>
      </c>
      <c r="DA52" s="60" t="s">
        <v>78</v>
      </c>
      <c r="DB52" s="60" t="s">
        <v>78</v>
      </c>
      <c r="DC52" s="60" t="s">
        <v>78</v>
      </c>
      <c r="DD52" s="60" t="s">
        <v>78</v>
      </c>
      <c r="DE52" s="60">
        <f>0.000409*0.137*10^3</f>
        <v>5.6033000000000013E-2</v>
      </c>
      <c r="DF52" s="60" t="s">
        <v>78</v>
      </c>
      <c r="DG52" s="60" t="s">
        <v>78</v>
      </c>
      <c r="DH52" s="98" t="s">
        <v>78</v>
      </c>
      <c r="DI52" s="135" t="s">
        <v>78</v>
      </c>
      <c r="DJ52" s="60" t="s">
        <v>78</v>
      </c>
      <c r="DK52" s="60" t="s">
        <v>78</v>
      </c>
      <c r="DL52" s="60" t="s">
        <v>78</v>
      </c>
      <c r="DM52" s="60" t="s">
        <v>78</v>
      </c>
      <c r="DN52" s="60">
        <f>0.000285*0.137*10^3</f>
        <v>3.9045000000000003E-2</v>
      </c>
      <c r="DO52" s="60" t="s">
        <v>78</v>
      </c>
      <c r="DP52" s="329" t="s">
        <v>78</v>
      </c>
      <c r="DQ52" s="14"/>
      <c r="DR52" s="8"/>
      <c r="DS52" s="8"/>
      <c r="DT52" s="8"/>
      <c r="DU52" s="8"/>
      <c r="DV52" s="8"/>
      <c r="DW52" s="8"/>
      <c r="DX52" s="8"/>
      <c r="DY52" s="8"/>
      <c r="DZ52" s="8"/>
      <c r="EA52" s="8"/>
      <c r="EB52" s="8"/>
    </row>
    <row r="53" spans="1:158" ht="15" thickBot="1" x14ac:dyDescent="0.4">
      <c r="B53" s="125"/>
      <c r="C53" s="279"/>
      <c r="D53" s="49"/>
      <c r="E53" s="132"/>
      <c r="F53" s="80"/>
      <c r="G53" s="4"/>
      <c r="H53" s="531"/>
      <c r="I53" s="70"/>
      <c r="J53" s="70"/>
      <c r="K53" s="3"/>
      <c r="L53" s="70"/>
      <c r="M53" s="3"/>
      <c r="N53" s="3"/>
      <c r="O53" s="3"/>
      <c r="P53" s="70"/>
      <c r="Q53" s="325"/>
      <c r="R53" s="3"/>
      <c r="S53" s="3"/>
      <c r="T53" s="3"/>
      <c r="U53" s="3"/>
      <c r="V53" s="70"/>
      <c r="W53" s="3"/>
      <c r="X53" s="70"/>
      <c r="Y53" s="3"/>
      <c r="Z53" s="3"/>
      <c r="AA53" s="3"/>
      <c r="AB53" s="3"/>
      <c r="AC53" s="75"/>
      <c r="AD53" s="152"/>
      <c r="AE53" s="70"/>
      <c r="AF53" s="3"/>
      <c r="AG53" s="70"/>
      <c r="AH53" s="3"/>
      <c r="AI53" s="3"/>
      <c r="AJ53" s="3"/>
      <c r="AK53" s="70"/>
      <c r="AL53" s="3"/>
      <c r="AM53" s="3"/>
      <c r="AN53" s="3"/>
      <c r="AO53" s="3"/>
      <c r="AP53" s="70"/>
      <c r="AQ53" s="70"/>
      <c r="AR53" s="3"/>
      <c r="AS53" s="3"/>
      <c r="AT53" s="3"/>
      <c r="AU53" s="3"/>
      <c r="AV53" s="3"/>
      <c r="AW53" s="3"/>
      <c r="AX53" s="3"/>
      <c r="AY53" s="3"/>
      <c r="AZ53" s="70"/>
      <c r="BA53" s="3"/>
      <c r="BB53" s="3"/>
      <c r="BC53" s="70"/>
      <c r="BD53" s="70"/>
      <c r="BE53" s="3"/>
      <c r="BF53" s="3"/>
      <c r="BG53" s="3"/>
      <c r="BH53" s="3"/>
      <c r="BI53" s="3"/>
      <c r="BJ53" s="3"/>
      <c r="BK53" s="70"/>
      <c r="BL53" s="70"/>
      <c r="BM53" s="3"/>
      <c r="BN53" s="3"/>
      <c r="BO53" s="3"/>
      <c r="BP53" s="3"/>
      <c r="BQ53" s="3"/>
      <c r="BR53" s="3"/>
      <c r="BS53" s="3"/>
      <c r="BT53" s="3"/>
      <c r="BU53" s="3"/>
      <c r="BV53" s="3"/>
      <c r="BW53" s="3"/>
      <c r="BX53" s="3"/>
      <c r="BY53" s="3"/>
      <c r="BZ53" s="3"/>
      <c r="CA53" s="3"/>
      <c r="CB53" s="3"/>
      <c r="CC53" s="3"/>
      <c r="CD53" s="3"/>
      <c r="CE53" s="70"/>
      <c r="CF53" s="3"/>
      <c r="CG53" s="3"/>
      <c r="CH53" s="3"/>
      <c r="CI53" s="3"/>
      <c r="CJ53" s="70"/>
      <c r="CK53" s="3"/>
      <c r="CL53" s="3"/>
      <c r="CM53" s="3"/>
      <c r="CN53" s="3"/>
      <c r="CO53" s="3"/>
      <c r="CP53" s="3"/>
      <c r="CQ53" s="3"/>
      <c r="CR53" s="3"/>
      <c r="CS53" s="70"/>
      <c r="CT53" s="70"/>
      <c r="CU53" s="3"/>
      <c r="CV53" s="70"/>
      <c r="CW53" s="3"/>
      <c r="CX53" s="3"/>
      <c r="CY53" s="70"/>
      <c r="CZ53" s="70"/>
      <c r="DA53" s="3"/>
      <c r="DB53" s="3"/>
      <c r="DC53" s="3"/>
      <c r="DD53" s="3"/>
      <c r="DE53" s="3"/>
      <c r="DF53" s="3"/>
      <c r="DG53" s="3"/>
      <c r="DH53" s="70"/>
      <c r="DI53" s="70"/>
      <c r="DJ53" s="3"/>
      <c r="DK53" s="3"/>
      <c r="DL53" s="3"/>
      <c r="DM53" s="3"/>
      <c r="DN53" s="3"/>
      <c r="DO53" s="3"/>
      <c r="DP53" s="4"/>
      <c r="DQ53" s="14"/>
      <c r="DR53" s="8"/>
      <c r="DS53" s="8"/>
      <c r="DT53" s="8"/>
      <c r="DU53" s="8"/>
      <c r="DV53" s="8"/>
      <c r="DW53" s="8"/>
      <c r="DX53" s="8"/>
      <c r="DY53" s="8"/>
      <c r="DZ53" s="8"/>
      <c r="EA53" s="8"/>
      <c r="EB53" s="8"/>
    </row>
    <row r="54" spans="1:158" x14ac:dyDescent="0.35">
      <c r="B54" s="8"/>
      <c r="C54" s="8"/>
      <c r="D54" s="24"/>
      <c r="E54" s="8"/>
      <c r="F54" s="24"/>
      <c r="G54" s="8"/>
      <c r="H54" s="8"/>
      <c r="I54" s="8"/>
      <c r="J54" s="8"/>
      <c r="K54" s="8"/>
      <c r="L54" s="8"/>
      <c r="M54" s="8"/>
      <c r="N54" s="8"/>
      <c r="O54" s="8"/>
      <c r="P54" s="8"/>
      <c r="R54" s="8"/>
      <c r="S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V54" s="8"/>
      <c r="CW54" s="8"/>
      <c r="CX54" s="8"/>
      <c r="CY54" s="8"/>
      <c r="CZ54" s="8"/>
      <c r="DA54" s="8"/>
      <c r="DB54" s="8"/>
      <c r="DC54" s="8"/>
      <c r="DD54" s="8"/>
      <c r="DE54" s="8"/>
      <c r="DF54" s="8"/>
      <c r="DG54" s="8"/>
      <c r="DH54" s="8"/>
      <c r="DI54" s="8"/>
      <c r="DL54" s="8"/>
      <c r="DM54" s="8"/>
      <c r="DN54" s="8"/>
      <c r="DO54" s="8"/>
      <c r="DP54" s="8"/>
      <c r="DQ54" s="8"/>
      <c r="DR54" s="8"/>
      <c r="DS54" s="8"/>
      <c r="DT54" s="8"/>
      <c r="DU54" s="8"/>
      <c r="DV54" s="8"/>
      <c r="DW54" s="8"/>
      <c r="DX54" s="8"/>
      <c r="DY54" s="8"/>
      <c r="DZ54" s="8"/>
      <c r="EA54" s="8"/>
      <c r="EB54" s="8"/>
    </row>
    <row r="55" spans="1:158" x14ac:dyDescent="0.35">
      <c r="B55" s="293" t="s">
        <v>143</v>
      </c>
      <c r="C55" s="293"/>
      <c r="D55" s="293"/>
      <c r="E55" s="293"/>
      <c r="F55" s="293"/>
      <c r="G55" s="293"/>
      <c r="H55" s="293"/>
      <c r="I55" s="120"/>
      <c r="J55" s="120"/>
      <c r="K55" s="8"/>
      <c r="L55" s="8"/>
      <c r="M55" s="8"/>
      <c r="N55" s="8"/>
      <c r="O55" s="8"/>
      <c r="P55" s="8"/>
      <c r="R55" s="8"/>
      <c r="S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17"/>
      <c r="CH55" s="17"/>
      <c r="CI55" s="8"/>
      <c r="CJ55" s="8"/>
      <c r="CK55" s="8"/>
      <c r="CL55" s="8"/>
      <c r="CM55" s="8"/>
      <c r="CN55" s="8"/>
      <c r="CO55" s="8"/>
      <c r="CP55" s="8"/>
      <c r="CQ55" s="8"/>
      <c r="CR55" s="8"/>
      <c r="CS55" s="8"/>
      <c r="CT55" s="8"/>
      <c r="CV55" s="8"/>
      <c r="CW55" s="8"/>
      <c r="CX55" s="8"/>
      <c r="CY55" s="8"/>
      <c r="CZ55" s="8"/>
      <c r="DA55" s="8"/>
      <c r="DB55" s="8"/>
      <c r="DC55" s="8"/>
      <c r="DD55" s="8"/>
      <c r="DE55" s="8"/>
      <c r="DF55" s="8"/>
      <c r="DG55" s="8"/>
      <c r="DH55" s="8"/>
      <c r="DI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row>
    <row r="56" spans="1:158" ht="27" customHeight="1" x14ac:dyDescent="0.35">
      <c r="A56" s="35"/>
      <c r="B56" s="299" t="s">
        <v>256</v>
      </c>
      <c r="C56" s="551" t="s">
        <v>275</v>
      </c>
      <c r="D56" s="551"/>
      <c r="E56" s="551"/>
      <c r="F56" s="551"/>
      <c r="G56" s="551"/>
      <c r="H56" s="505"/>
      <c r="I56" s="221"/>
      <c r="J56" s="221"/>
      <c r="K56" s="8"/>
      <c r="L56" s="8"/>
      <c r="M56" s="8"/>
      <c r="N56" s="8"/>
      <c r="O56" s="8"/>
      <c r="P56" s="8"/>
      <c r="R56" s="8"/>
      <c r="S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17"/>
      <c r="CH56" s="17"/>
      <c r="CI56" s="8"/>
      <c r="CJ56" s="8"/>
      <c r="CK56" s="8"/>
      <c r="CL56" s="8"/>
      <c r="CM56" s="8"/>
      <c r="CN56" s="8"/>
      <c r="CO56" s="8"/>
      <c r="CP56" s="8"/>
      <c r="CQ56" s="8"/>
      <c r="CR56" s="8"/>
      <c r="CS56" s="8"/>
      <c r="CT56" s="8"/>
      <c r="CV56" s="8"/>
      <c r="CW56" s="8"/>
      <c r="CX56" s="8"/>
      <c r="CY56" s="8"/>
      <c r="CZ56" s="8"/>
      <c r="DA56" s="8"/>
      <c r="DB56" s="8"/>
      <c r="DC56" s="8"/>
      <c r="DD56" s="8"/>
      <c r="DE56" s="8"/>
      <c r="DF56" s="8"/>
      <c r="DG56" s="8"/>
      <c r="DH56" s="8"/>
      <c r="DI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row>
    <row r="57" spans="1:158" x14ac:dyDescent="0.35">
      <c r="A57" s="35"/>
      <c r="B57" s="300"/>
      <c r="C57" s="286" t="s">
        <v>100</v>
      </c>
      <c r="D57" s="287"/>
      <c r="E57" s="286"/>
      <c r="F57" s="288"/>
      <c r="G57" s="288"/>
      <c r="H57" s="288"/>
      <c r="I57" s="121"/>
      <c r="J57" s="121"/>
      <c r="K57" s="8"/>
      <c r="L57" s="8"/>
      <c r="M57" s="8"/>
      <c r="N57" s="8"/>
      <c r="O57" s="8"/>
      <c r="P57" s="8"/>
      <c r="R57" s="8"/>
      <c r="S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17"/>
      <c r="CH57" s="17"/>
      <c r="CI57" s="8"/>
      <c r="CJ57" s="8"/>
      <c r="CK57" s="8"/>
      <c r="CL57" s="8"/>
      <c r="CM57" s="8"/>
      <c r="CN57" s="8"/>
      <c r="CO57" s="8"/>
      <c r="CP57" s="8"/>
      <c r="CQ57" s="8"/>
      <c r="CR57" s="8"/>
      <c r="CS57" s="8"/>
      <c r="CT57" s="8"/>
      <c r="CV57" s="8"/>
      <c r="CW57" s="8"/>
      <c r="CX57" s="8"/>
      <c r="CY57" s="8"/>
      <c r="CZ57" s="8"/>
      <c r="DA57" s="8"/>
      <c r="DB57" s="8"/>
      <c r="DC57" s="8"/>
      <c r="DD57" s="8"/>
      <c r="DE57" s="8"/>
      <c r="DF57" s="8"/>
      <c r="DG57" s="8"/>
      <c r="DH57" s="8"/>
      <c r="DI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row>
    <row r="58" spans="1:158" x14ac:dyDescent="0.35">
      <c r="A58" s="35"/>
      <c r="B58" s="299" t="s">
        <v>263</v>
      </c>
      <c r="C58" s="551" t="s">
        <v>433</v>
      </c>
      <c r="D58" s="551"/>
      <c r="E58" s="551"/>
      <c r="F58" s="551"/>
      <c r="G58" s="551"/>
      <c r="H58" s="505"/>
      <c r="I58" s="121"/>
      <c r="J58" s="121"/>
      <c r="K58" s="8"/>
      <c r="L58" s="8"/>
      <c r="M58" s="8"/>
      <c r="N58" s="8"/>
      <c r="O58" s="8"/>
      <c r="P58" s="8"/>
      <c r="R58" s="8"/>
      <c r="S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17"/>
      <c r="CH58" s="17"/>
      <c r="CI58" s="8"/>
      <c r="CJ58" s="8"/>
      <c r="CK58" s="8"/>
      <c r="CL58" s="8"/>
      <c r="CM58" s="8"/>
      <c r="CN58" s="8"/>
      <c r="CO58" s="8"/>
      <c r="CP58" s="8"/>
      <c r="CQ58" s="8"/>
      <c r="CR58" s="8"/>
      <c r="CS58" s="8"/>
      <c r="CT58" s="8"/>
      <c r="CV58" s="8"/>
      <c r="CW58" s="8"/>
      <c r="CX58" s="8"/>
      <c r="CY58" s="8"/>
      <c r="CZ58" s="8"/>
      <c r="DA58" s="8"/>
      <c r="DB58" s="8"/>
      <c r="DC58" s="8"/>
      <c r="DD58" s="8"/>
      <c r="DE58" s="8"/>
      <c r="DF58" s="8"/>
      <c r="DG58" s="8"/>
      <c r="DH58" s="8"/>
      <c r="DI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row>
    <row r="59" spans="1:158" x14ac:dyDescent="0.35">
      <c r="A59" s="35"/>
      <c r="B59" s="300"/>
      <c r="C59" s="286" t="s">
        <v>210</v>
      </c>
      <c r="D59" s="287"/>
      <c r="E59" s="286"/>
      <c r="F59" s="288"/>
      <c r="G59" s="288"/>
      <c r="H59" s="288"/>
      <c r="I59" s="121"/>
      <c r="J59" s="121"/>
      <c r="K59" s="8"/>
      <c r="L59" s="8"/>
      <c r="M59" s="8"/>
      <c r="N59" s="8"/>
      <c r="O59" s="8"/>
      <c r="P59" s="8"/>
      <c r="R59" s="8"/>
      <c r="S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17"/>
      <c r="CH59" s="17"/>
      <c r="CI59" s="8"/>
      <c r="CJ59" s="8"/>
      <c r="CK59" s="8"/>
      <c r="CL59" s="8"/>
      <c r="CM59" s="8"/>
      <c r="CN59" s="8"/>
      <c r="CO59" s="8"/>
      <c r="CP59" s="8"/>
      <c r="CQ59" s="8"/>
      <c r="CR59" s="8"/>
      <c r="CS59" s="8"/>
      <c r="CT59" s="8"/>
      <c r="CV59" s="8"/>
      <c r="CW59" s="8"/>
      <c r="CX59" s="8"/>
      <c r="CY59" s="8"/>
      <c r="CZ59" s="8"/>
      <c r="DA59" s="8"/>
      <c r="DB59" s="8"/>
      <c r="DC59" s="8"/>
      <c r="DD59" s="8"/>
      <c r="DE59" s="8"/>
      <c r="DF59" s="8"/>
      <c r="DG59" s="8"/>
      <c r="DH59" s="8"/>
      <c r="DI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row>
    <row r="60" spans="1:158" ht="27" customHeight="1" x14ac:dyDescent="0.35">
      <c r="A60" s="35"/>
      <c r="B60" s="299" t="s">
        <v>264</v>
      </c>
      <c r="C60" s="551" t="s">
        <v>276</v>
      </c>
      <c r="D60" s="551"/>
      <c r="E60" s="551"/>
      <c r="F60" s="551"/>
      <c r="G60" s="551"/>
      <c r="H60" s="505"/>
      <c r="I60" s="221"/>
      <c r="J60" s="221"/>
      <c r="K60" s="8"/>
      <c r="L60" s="8"/>
      <c r="M60" s="8"/>
      <c r="N60" s="8"/>
      <c r="O60" s="8"/>
      <c r="P60" s="8"/>
      <c r="R60" s="8"/>
      <c r="S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17"/>
      <c r="CH60" s="17"/>
      <c r="CI60" s="8"/>
      <c r="CJ60" s="8"/>
      <c r="CK60" s="8"/>
      <c r="CL60" s="8"/>
      <c r="CM60" s="8"/>
      <c r="CN60" s="8"/>
      <c r="CO60" s="8"/>
      <c r="CP60" s="8"/>
      <c r="CQ60" s="8"/>
      <c r="CR60" s="8"/>
      <c r="CS60" s="8"/>
      <c r="CT60" s="8"/>
      <c r="CV60" s="8"/>
      <c r="CW60" s="8"/>
      <c r="CX60" s="8"/>
      <c r="CY60" s="8"/>
      <c r="CZ60" s="8"/>
      <c r="DA60" s="8"/>
      <c r="DB60" s="8"/>
      <c r="DC60" s="8"/>
      <c r="DD60" s="8"/>
      <c r="DE60" s="8"/>
      <c r="DF60" s="8"/>
      <c r="DG60" s="8"/>
      <c r="DH60" s="8"/>
      <c r="DI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row>
    <row r="61" spans="1:158" x14ac:dyDescent="0.35">
      <c r="A61" s="35"/>
      <c r="C61" s="286" t="s">
        <v>100</v>
      </c>
      <c r="D61" s="287"/>
      <c r="E61" s="286"/>
      <c r="F61" s="288"/>
      <c r="G61" s="288"/>
      <c r="H61" s="288"/>
      <c r="I61" s="121"/>
      <c r="J61" s="121"/>
      <c r="K61" s="8"/>
      <c r="L61" s="8"/>
      <c r="M61" s="8"/>
      <c r="N61" s="8"/>
      <c r="O61" s="8"/>
      <c r="P61" s="8"/>
      <c r="R61" s="8"/>
      <c r="S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17"/>
      <c r="CH61" s="17"/>
      <c r="CI61" s="8"/>
      <c r="CJ61" s="8"/>
      <c r="CK61" s="8"/>
      <c r="CL61" s="8"/>
      <c r="CM61" s="8"/>
      <c r="CN61" s="8"/>
      <c r="CO61" s="8"/>
      <c r="CP61" s="8"/>
      <c r="CQ61" s="8"/>
      <c r="CR61" s="8"/>
      <c r="CS61" s="8"/>
      <c r="CT61" s="8"/>
      <c r="CV61" s="8"/>
      <c r="CW61" s="8"/>
      <c r="CX61" s="8"/>
      <c r="CY61" s="8"/>
      <c r="CZ61" s="8"/>
      <c r="DA61" s="8"/>
      <c r="DB61" s="8"/>
      <c r="DC61" s="8"/>
      <c r="DD61" s="8"/>
      <c r="DE61" s="8"/>
      <c r="DF61" s="8"/>
      <c r="DG61" s="8"/>
      <c r="DH61" s="8"/>
      <c r="DI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row>
    <row r="62" spans="1:158" x14ac:dyDescent="0.35">
      <c r="A62" s="35"/>
      <c r="B62" s="299" t="s">
        <v>265</v>
      </c>
      <c r="C62" s="551" t="s">
        <v>277</v>
      </c>
      <c r="D62" s="551"/>
      <c r="E62" s="551"/>
      <c r="F62" s="551"/>
      <c r="G62" s="551"/>
      <c r="H62" s="505"/>
      <c r="I62" s="121"/>
      <c r="J62" s="121"/>
      <c r="K62" s="8"/>
      <c r="L62" s="8"/>
      <c r="M62" s="8"/>
      <c r="N62" s="8"/>
      <c r="O62" s="8"/>
      <c r="P62" s="8"/>
      <c r="R62" s="8"/>
      <c r="S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17"/>
      <c r="CH62" s="17"/>
      <c r="CI62" s="8"/>
      <c r="CJ62" s="8"/>
      <c r="CK62" s="8"/>
      <c r="CL62" s="8"/>
      <c r="CM62" s="8"/>
      <c r="CN62" s="8"/>
      <c r="CO62" s="8"/>
      <c r="CP62" s="8"/>
      <c r="CQ62" s="8"/>
      <c r="CR62" s="8"/>
      <c r="CS62" s="8"/>
      <c r="CT62" s="8"/>
      <c r="CV62" s="8"/>
      <c r="CW62" s="8"/>
      <c r="CX62" s="8"/>
      <c r="CY62" s="8"/>
      <c r="CZ62" s="8"/>
      <c r="DA62" s="8"/>
      <c r="DB62" s="8"/>
      <c r="DC62" s="8"/>
      <c r="DD62" s="8"/>
      <c r="DE62" s="8"/>
      <c r="DF62" s="8"/>
      <c r="DG62" s="8"/>
      <c r="DH62" s="8"/>
      <c r="DI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row>
    <row r="63" spans="1:158" x14ac:dyDescent="0.35">
      <c r="A63" s="35"/>
      <c r="B63" s="300"/>
      <c r="C63" s="286" t="s">
        <v>210</v>
      </c>
      <c r="D63" s="287"/>
      <c r="E63" s="286"/>
      <c r="F63" s="288"/>
      <c r="G63" s="288"/>
      <c r="H63" s="288"/>
      <c r="I63" s="121"/>
      <c r="J63" s="121"/>
      <c r="K63" s="8"/>
      <c r="L63" s="8"/>
      <c r="M63" s="8"/>
      <c r="N63" s="8"/>
      <c r="O63" s="8"/>
      <c r="P63" s="8"/>
      <c r="R63" s="8"/>
      <c r="S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17"/>
      <c r="CH63" s="17"/>
      <c r="CI63" s="8"/>
      <c r="CJ63" s="8"/>
      <c r="CK63" s="8"/>
      <c r="CL63" s="8"/>
      <c r="CM63" s="8"/>
      <c r="CN63" s="8"/>
      <c r="CO63" s="8"/>
      <c r="CP63" s="8"/>
      <c r="CQ63" s="8"/>
      <c r="CR63" s="8"/>
      <c r="CS63" s="8"/>
      <c r="CT63" s="8"/>
      <c r="CV63" s="8"/>
      <c r="CW63" s="8"/>
      <c r="CX63" s="8"/>
      <c r="CY63" s="8"/>
      <c r="CZ63" s="8"/>
      <c r="DA63" s="8"/>
      <c r="DB63" s="8"/>
      <c r="DC63" s="8"/>
      <c r="DD63" s="8"/>
      <c r="DE63" s="8"/>
      <c r="DF63" s="8"/>
      <c r="DG63" s="8"/>
      <c r="DH63" s="8"/>
      <c r="DI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row>
    <row r="64" spans="1:158" x14ac:dyDescent="0.35">
      <c r="A64" s="35"/>
      <c r="B64" s="299" t="s">
        <v>266</v>
      </c>
      <c r="C64" s="551" t="s">
        <v>278</v>
      </c>
      <c r="D64" s="551"/>
      <c r="E64" s="551"/>
      <c r="F64" s="551"/>
      <c r="G64" s="551"/>
      <c r="H64" s="505"/>
      <c r="I64" s="121"/>
      <c r="J64" s="121"/>
      <c r="K64" s="8"/>
      <c r="L64" s="8"/>
      <c r="M64" s="8"/>
      <c r="N64" s="8"/>
      <c r="O64" s="8"/>
      <c r="P64" s="8"/>
      <c r="R64" s="8"/>
      <c r="S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17"/>
      <c r="CH64" s="17"/>
      <c r="CI64" s="8"/>
      <c r="CJ64" s="8"/>
      <c r="CK64" s="8"/>
      <c r="CL64" s="8"/>
      <c r="CM64" s="8"/>
      <c r="CN64" s="8"/>
      <c r="CO64" s="8"/>
      <c r="CP64" s="8"/>
      <c r="CQ64" s="8"/>
      <c r="CR64" s="8"/>
      <c r="CS64" s="8"/>
      <c r="CT64" s="8"/>
      <c r="CV64" s="8"/>
      <c r="CW64" s="8"/>
      <c r="CX64" s="8"/>
      <c r="CY64" s="8"/>
      <c r="CZ64" s="8"/>
      <c r="DA64" s="8"/>
      <c r="DB64" s="8"/>
      <c r="DC64" s="8"/>
      <c r="DD64" s="8"/>
      <c r="DE64" s="8"/>
      <c r="DF64" s="8"/>
      <c r="DG64" s="8"/>
      <c r="DH64" s="8"/>
      <c r="DI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row>
    <row r="65" spans="1:158" x14ac:dyDescent="0.35">
      <c r="A65" s="35"/>
      <c r="B65" s="300"/>
      <c r="C65" s="286" t="s">
        <v>210</v>
      </c>
      <c r="D65" s="287"/>
      <c r="E65" s="286"/>
      <c r="F65" s="288"/>
      <c r="G65" s="288"/>
      <c r="H65" s="288"/>
      <c r="I65" s="121"/>
      <c r="J65" s="121"/>
      <c r="K65" s="8"/>
      <c r="L65" s="8"/>
      <c r="M65" s="8"/>
      <c r="N65" s="8"/>
      <c r="O65" s="8"/>
      <c r="P65" s="8"/>
      <c r="R65" s="8"/>
      <c r="S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17"/>
      <c r="CH65" s="17"/>
      <c r="CI65" s="8"/>
      <c r="CJ65" s="8"/>
      <c r="CK65" s="8"/>
      <c r="CL65" s="8"/>
      <c r="CM65" s="8"/>
      <c r="CN65" s="8"/>
      <c r="CO65" s="8"/>
      <c r="CP65" s="8"/>
      <c r="CQ65" s="8"/>
      <c r="CR65" s="8"/>
      <c r="CS65" s="8"/>
      <c r="CT65" s="8"/>
      <c r="CV65" s="8"/>
      <c r="CW65" s="8"/>
      <c r="CX65" s="8"/>
      <c r="CY65" s="8"/>
      <c r="CZ65" s="8"/>
      <c r="DA65" s="8"/>
      <c r="DB65" s="8"/>
      <c r="DC65" s="8"/>
      <c r="DD65" s="8"/>
      <c r="DE65" s="8"/>
      <c r="DF65" s="8"/>
      <c r="DG65" s="8"/>
      <c r="DH65" s="8"/>
      <c r="DI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row>
    <row r="66" spans="1:158" ht="27" customHeight="1" x14ac:dyDescent="0.35">
      <c r="A66" s="35"/>
      <c r="B66" s="299" t="s">
        <v>267</v>
      </c>
      <c r="C66" s="551" t="s">
        <v>419</v>
      </c>
      <c r="D66" s="551"/>
      <c r="E66" s="551"/>
      <c r="F66" s="551"/>
      <c r="G66" s="551"/>
      <c r="H66" s="505"/>
      <c r="I66" s="221"/>
      <c r="J66" s="221"/>
      <c r="K66" s="8"/>
      <c r="L66" s="8"/>
      <c r="M66" s="8"/>
      <c r="N66" s="8"/>
      <c r="O66" s="8"/>
      <c r="P66" s="8"/>
      <c r="R66" s="8"/>
      <c r="S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17"/>
      <c r="CH66" s="17"/>
      <c r="CI66" s="8"/>
      <c r="CJ66" s="8"/>
      <c r="CK66" s="8"/>
      <c r="CL66" s="8"/>
      <c r="CM66" s="8"/>
      <c r="CN66" s="8"/>
      <c r="CO66" s="8"/>
      <c r="CP66" s="8"/>
      <c r="CQ66" s="8"/>
      <c r="CR66" s="8"/>
      <c r="CS66" s="8"/>
      <c r="CT66" s="8"/>
      <c r="CV66" s="8"/>
      <c r="CW66" s="8"/>
      <c r="CX66" s="8"/>
      <c r="CY66" s="8"/>
      <c r="CZ66" s="8"/>
      <c r="DA66" s="8"/>
      <c r="DB66" s="8"/>
      <c r="DC66" s="8"/>
      <c r="DD66" s="8"/>
      <c r="DE66" s="8"/>
      <c r="DF66" s="8"/>
      <c r="DG66" s="8"/>
      <c r="DH66" s="8"/>
      <c r="DI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row>
    <row r="67" spans="1:158" x14ac:dyDescent="0.35">
      <c r="A67" s="35"/>
      <c r="B67" s="300"/>
      <c r="C67" s="286" t="s">
        <v>100</v>
      </c>
      <c r="D67" s="287"/>
      <c r="E67" s="286"/>
      <c r="F67" s="288"/>
      <c r="G67" s="288"/>
      <c r="H67" s="288"/>
      <c r="I67" s="121"/>
      <c r="J67" s="121"/>
      <c r="K67" s="8"/>
      <c r="L67" s="8"/>
      <c r="M67" s="8"/>
      <c r="N67" s="8"/>
      <c r="O67" s="8"/>
      <c r="P67" s="8"/>
      <c r="R67" s="8"/>
      <c r="S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17"/>
      <c r="CH67" s="17"/>
      <c r="CI67" s="8"/>
      <c r="CJ67" s="8"/>
      <c r="CK67" s="8"/>
      <c r="CL67" s="8"/>
      <c r="CM67" s="8"/>
      <c r="CN67" s="8"/>
      <c r="CO67" s="8"/>
      <c r="CP67" s="8"/>
      <c r="CQ67" s="8"/>
      <c r="CR67" s="8"/>
      <c r="CS67" s="8"/>
      <c r="CT67" s="8"/>
      <c r="CV67" s="8"/>
      <c r="CW67" s="8"/>
      <c r="CX67" s="8"/>
      <c r="CY67" s="8"/>
      <c r="CZ67" s="8"/>
      <c r="DA67" s="8"/>
      <c r="DB67" s="8"/>
      <c r="DC67" s="8"/>
      <c r="DD67" s="8"/>
      <c r="DE67" s="8"/>
      <c r="DF67" s="8"/>
      <c r="DG67" s="8"/>
      <c r="DH67" s="8"/>
      <c r="DI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row>
    <row r="68" spans="1:158" ht="27" customHeight="1" x14ac:dyDescent="0.35">
      <c r="A68" s="35"/>
      <c r="B68" s="299" t="s">
        <v>268</v>
      </c>
      <c r="C68" s="551" t="s">
        <v>279</v>
      </c>
      <c r="D68" s="551"/>
      <c r="E68" s="551"/>
      <c r="F68" s="551"/>
      <c r="G68" s="551"/>
      <c r="H68" s="505"/>
      <c r="I68" s="121"/>
      <c r="J68" s="121"/>
      <c r="K68" s="8"/>
      <c r="L68" s="8"/>
      <c r="M68" s="8"/>
      <c r="N68" s="8"/>
      <c r="O68" s="8"/>
      <c r="P68" s="8"/>
      <c r="R68" s="8"/>
      <c r="S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17"/>
      <c r="CH68" s="17"/>
      <c r="CI68" s="8"/>
      <c r="CJ68" s="8"/>
      <c r="CK68" s="8"/>
      <c r="CL68" s="8"/>
      <c r="CM68" s="8"/>
      <c r="CN68" s="8"/>
      <c r="CO68" s="8"/>
      <c r="CP68" s="8"/>
      <c r="CQ68" s="8"/>
      <c r="CR68" s="8"/>
      <c r="CS68" s="8"/>
      <c r="CT68" s="8"/>
      <c r="CV68" s="8"/>
      <c r="CW68" s="8"/>
      <c r="CX68" s="8"/>
      <c r="CY68" s="8"/>
      <c r="CZ68" s="8"/>
      <c r="DA68" s="8"/>
      <c r="DB68" s="8"/>
      <c r="DC68" s="8"/>
      <c r="DD68" s="8"/>
      <c r="DE68" s="8"/>
      <c r="DF68" s="8"/>
      <c r="DG68" s="8"/>
      <c r="DH68" s="8"/>
      <c r="DI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row>
    <row r="69" spans="1:158" x14ac:dyDescent="0.35">
      <c r="A69" s="35"/>
      <c r="B69" s="300"/>
      <c r="C69" s="286" t="s">
        <v>100</v>
      </c>
      <c r="D69" s="287"/>
      <c r="E69" s="286"/>
      <c r="F69" s="288"/>
      <c r="G69" s="288"/>
      <c r="H69" s="288"/>
      <c r="I69" s="121"/>
      <c r="J69" s="121"/>
      <c r="K69" s="8"/>
      <c r="L69" s="8"/>
      <c r="M69" s="8"/>
      <c r="N69" s="8"/>
      <c r="O69" s="8"/>
      <c r="P69" s="8"/>
      <c r="R69" s="8"/>
      <c r="S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17"/>
      <c r="CH69" s="17"/>
      <c r="CI69" s="8"/>
      <c r="CJ69" s="8"/>
      <c r="CK69" s="8"/>
      <c r="CL69" s="8"/>
      <c r="CM69" s="8"/>
      <c r="CN69" s="8"/>
      <c r="CO69" s="8"/>
      <c r="CP69" s="8"/>
      <c r="CQ69" s="8"/>
      <c r="CR69" s="8"/>
      <c r="CS69" s="8"/>
      <c r="CT69" s="8"/>
      <c r="CV69" s="8"/>
      <c r="CW69" s="8"/>
      <c r="CX69" s="8"/>
      <c r="CY69" s="8"/>
      <c r="CZ69" s="8"/>
      <c r="DA69" s="8"/>
      <c r="DB69" s="8"/>
      <c r="DC69" s="8"/>
      <c r="DD69" s="8"/>
      <c r="DE69" s="8"/>
      <c r="DF69" s="8"/>
      <c r="DG69" s="8"/>
      <c r="DH69" s="8"/>
      <c r="DI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row>
    <row r="70" spans="1:158" x14ac:dyDescent="0.35">
      <c r="A70" s="35"/>
      <c r="B70" s="299" t="s">
        <v>269</v>
      </c>
      <c r="C70" s="551" t="s">
        <v>420</v>
      </c>
      <c r="D70" s="551"/>
      <c r="E70" s="551"/>
      <c r="F70" s="551"/>
      <c r="G70" s="551"/>
      <c r="H70" s="505"/>
      <c r="I70" s="121"/>
      <c r="J70" s="121"/>
      <c r="K70" s="8"/>
      <c r="L70" s="8"/>
      <c r="M70" s="8"/>
      <c r="N70" s="8"/>
      <c r="O70" s="8"/>
      <c r="P70" s="8"/>
      <c r="R70" s="8"/>
      <c r="S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17"/>
      <c r="CH70" s="17"/>
      <c r="CI70" s="8"/>
      <c r="CJ70" s="8"/>
      <c r="CK70" s="8"/>
      <c r="CL70" s="8"/>
      <c r="CM70" s="8"/>
      <c r="CN70" s="8"/>
      <c r="CO70" s="8"/>
      <c r="CP70" s="8"/>
      <c r="CQ70" s="8"/>
      <c r="CR70" s="8"/>
      <c r="CS70" s="8"/>
      <c r="CT70" s="8"/>
      <c r="CV70" s="8"/>
      <c r="CW70" s="8"/>
      <c r="CX70" s="8"/>
      <c r="CY70" s="8"/>
      <c r="CZ70" s="8"/>
      <c r="DA70" s="8"/>
      <c r="DB70" s="8"/>
      <c r="DC70" s="8"/>
      <c r="DD70" s="8"/>
      <c r="DE70" s="8"/>
      <c r="DF70" s="8"/>
      <c r="DG70" s="8"/>
      <c r="DH70" s="8"/>
      <c r="DI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row>
    <row r="71" spans="1:158" x14ac:dyDescent="0.35">
      <c r="A71" s="35"/>
      <c r="B71" s="300"/>
      <c r="C71" s="286" t="s">
        <v>340</v>
      </c>
      <c r="D71" s="287"/>
      <c r="E71" s="286"/>
      <c r="F71" s="288"/>
      <c r="G71" s="288"/>
      <c r="H71" s="288"/>
      <c r="I71" s="121"/>
      <c r="J71" s="121"/>
      <c r="K71" s="8"/>
      <c r="L71" s="8"/>
      <c r="M71" s="8"/>
      <c r="N71" s="8"/>
      <c r="O71" s="8"/>
      <c r="P71" s="8"/>
      <c r="R71" s="8"/>
      <c r="S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17"/>
      <c r="CH71" s="17"/>
      <c r="CI71" s="8"/>
      <c r="CJ71" s="8"/>
      <c r="CK71" s="8"/>
      <c r="CL71" s="8"/>
      <c r="CM71" s="8"/>
      <c r="CN71" s="8"/>
      <c r="CO71" s="8"/>
      <c r="CP71" s="8"/>
      <c r="CQ71" s="8"/>
      <c r="CR71" s="8"/>
      <c r="CS71" s="8"/>
      <c r="CT71" s="8"/>
      <c r="CV71" s="8"/>
      <c r="CW71" s="8"/>
      <c r="CX71" s="8"/>
      <c r="CY71" s="8"/>
      <c r="CZ71" s="8"/>
      <c r="DA71" s="8"/>
      <c r="DB71" s="8"/>
      <c r="DC71" s="8"/>
      <c r="DD71" s="8"/>
      <c r="DE71" s="8"/>
      <c r="DF71" s="8"/>
      <c r="DG71" s="8"/>
      <c r="DH71" s="8"/>
      <c r="DI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row>
    <row r="72" spans="1:158" ht="27" customHeight="1" x14ac:dyDescent="0.35">
      <c r="A72" s="35"/>
      <c r="B72" s="299" t="s">
        <v>270</v>
      </c>
      <c r="C72" s="551" t="s">
        <v>280</v>
      </c>
      <c r="D72" s="551"/>
      <c r="E72" s="551"/>
      <c r="F72" s="551"/>
      <c r="G72" s="551"/>
      <c r="H72" s="505"/>
      <c r="I72" s="221"/>
      <c r="J72" s="221"/>
      <c r="K72" s="8"/>
      <c r="L72" s="8"/>
      <c r="M72" s="8"/>
      <c r="N72" s="8"/>
      <c r="O72" s="8"/>
      <c r="P72" s="8"/>
      <c r="R72" s="8"/>
      <c r="S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17"/>
      <c r="CH72" s="17"/>
      <c r="CI72" s="8"/>
      <c r="CJ72" s="8"/>
      <c r="CK72" s="8"/>
      <c r="CL72" s="8"/>
      <c r="CM72" s="8"/>
      <c r="CN72" s="8"/>
      <c r="CO72" s="8"/>
      <c r="CP72" s="8"/>
      <c r="CQ72" s="8"/>
      <c r="CR72" s="8"/>
      <c r="CS72" s="8"/>
      <c r="CT72" s="8"/>
      <c r="CV72" s="8"/>
      <c r="CW72" s="8"/>
      <c r="CX72" s="8"/>
      <c r="CY72" s="8"/>
      <c r="CZ72" s="8"/>
      <c r="DA72" s="8"/>
      <c r="DB72" s="8"/>
      <c r="DC72" s="8"/>
      <c r="DD72" s="8"/>
      <c r="DE72" s="8"/>
      <c r="DF72" s="8"/>
      <c r="DG72" s="8"/>
      <c r="DH72" s="8"/>
      <c r="DI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row>
    <row r="73" spans="1:158" x14ac:dyDescent="0.35">
      <c r="A73" s="35"/>
      <c r="B73" s="300"/>
      <c r="C73" s="286" t="s">
        <v>100</v>
      </c>
      <c r="D73" s="287"/>
      <c r="E73" s="286"/>
      <c r="F73" s="288"/>
      <c r="G73" s="288"/>
      <c r="H73" s="288"/>
      <c r="I73" s="121"/>
      <c r="J73" s="121"/>
      <c r="K73" s="8"/>
      <c r="L73" s="8"/>
      <c r="M73" s="8"/>
      <c r="N73" s="8"/>
      <c r="O73" s="8"/>
      <c r="P73" s="8"/>
      <c r="R73" s="8"/>
      <c r="S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17"/>
      <c r="CH73" s="17"/>
      <c r="CI73" s="8"/>
      <c r="CJ73" s="8"/>
      <c r="CK73" s="8"/>
      <c r="CL73" s="8"/>
      <c r="CM73" s="8"/>
      <c r="CN73" s="8"/>
      <c r="CO73" s="8"/>
      <c r="CP73" s="8"/>
      <c r="CQ73" s="8"/>
      <c r="CR73" s="8"/>
      <c r="CS73" s="8"/>
      <c r="CT73" s="8"/>
      <c r="CV73" s="8"/>
      <c r="CW73" s="8"/>
      <c r="CX73" s="8"/>
      <c r="CY73" s="8"/>
      <c r="CZ73" s="8"/>
      <c r="DA73" s="8"/>
      <c r="DB73" s="8"/>
      <c r="DC73" s="8"/>
      <c r="DD73" s="8"/>
      <c r="DE73" s="8"/>
      <c r="DF73" s="8"/>
      <c r="DG73" s="8"/>
      <c r="DH73" s="8"/>
      <c r="DI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row>
    <row r="74" spans="1:158" ht="27" customHeight="1" x14ac:dyDescent="0.35">
      <c r="A74" s="35"/>
      <c r="B74" s="299" t="s">
        <v>271</v>
      </c>
      <c r="C74" s="551" t="s">
        <v>281</v>
      </c>
      <c r="D74" s="551"/>
      <c r="E74" s="551"/>
      <c r="F74" s="551"/>
      <c r="G74" s="551"/>
      <c r="H74" s="505"/>
      <c r="I74" s="121"/>
      <c r="J74" s="121"/>
      <c r="K74" s="8"/>
      <c r="L74" s="8"/>
      <c r="M74" s="8"/>
      <c r="N74" s="8"/>
      <c r="O74" s="8"/>
      <c r="P74" s="8"/>
      <c r="R74" s="8"/>
      <c r="S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17"/>
      <c r="CH74" s="17"/>
      <c r="CI74" s="8"/>
      <c r="CJ74" s="8"/>
      <c r="CK74" s="8"/>
      <c r="CL74" s="8"/>
      <c r="CM74" s="8"/>
      <c r="CN74" s="8"/>
      <c r="CO74" s="8"/>
      <c r="CP74" s="8"/>
      <c r="CQ74" s="8"/>
      <c r="CR74" s="8"/>
      <c r="CS74" s="8"/>
      <c r="CT74" s="8"/>
      <c r="CV74" s="8"/>
      <c r="CW74" s="8"/>
      <c r="CX74" s="8"/>
      <c r="CY74" s="8"/>
      <c r="CZ74" s="8"/>
      <c r="DA74" s="8"/>
      <c r="DB74" s="8"/>
      <c r="DC74" s="8"/>
      <c r="DD74" s="8"/>
      <c r="DE74" s="8"/>
      <c r="DF74" s="8"/>
      <c r="DG74" s="8"/>
      <c r="DH74" s="8"/>
      <c r="DI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row>
    <row r="75" spans="1:158" x14ac:dyDescent="0.35">
      <c r="A75" s="35"/>
      <c r="B75" s="300"/>
      <c r="C75" s="286" t="s">
        <v>100</v>
      </c>
      <c r="D75" s="287"/>
      <c r="E75" s="286"/>
      <c r="F75" s="288"/>
      <c r="G75" s="288"/>
      <c r="H75" s="288"/>
      <c r="I75" s="121"/>
      <c r="J75" s="121"/>
      <c r="K75" s="8"/>
      <c r="L75" s="8"/>
      <c r="M75" s="8"/>
      <c r="N75" s="8"/>
      <c r="O75" s="8"/>
      <c r="P75" s="8"/>
      <c r="R75" s="8"/>
      <c r="S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17"/>
      <c r="CH75" s="17"/>
      <c r="CI75" s="8"/>
      <c r="CJ75" s="8"/>
      <c r="CK75" s="8"/>
      <c r="CL75" s="8"/>
      <c r="CM75" s="8"/>
      <c r="CN75" s="8"/>
      <c r="CO75" s="8"/>
      <c r="CP75" s="8"/>
      <c r="CQ75" s="8"/>
      <c r="CR75" s="8"/>
      <c r="CS75" s="8"/>
      <c r="CT75" s="8"/>
      <c r="CV75" s="8"/>
      <c r="CW75" s="8"/>
      <c r="CX75" s="8"/>
      <c r="CY75" s="8"/>
      <c r="CZ75" s="8"/>
      <c r="DA75" s="8"/>
      <c r="DB75" s="8"/>
      <c r="DC75" s="8"/>
      <c r="DD75" s="8"/>
      <c r="DE75" s="8"/>
      <c r="DF75" s="8"/>
      <c r="DG75" s="8"/>
      <c r="DH75" s="8"/>
      <c r="DI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row>
    <row r="76" spans="1:158" x14ac:dyDescent="0.35">
      <c r="A76" s="35"/>
      <c r="B76" s="299" t="s">
        <v>272</v>
      </c>
      <c r="C76" s="551" t="s">
        <v>282</v>
      </c>
      <c r="D76" s="551"/>
      <c r="E76" s="551"/>
      <c r="F76" s="551"/>
      <c r="G76" s="551"/>
      <c r="H76" s="505"/>
      <c r="I76" s="221"/>
      <c r="J76" s="221"/>
      <c r="K76" s="8"/>
      <c r="L76" s="8"/>
      <c r="M76" s="8"/>
      <c r="N76" s="8"/>
      <c r="O76" s="8"/>
      <c r="P76" s="8"/>
      <c r="R76" s="8"/>
      <c r="S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17"/>
      <c r="CH76" s="17"/>
      <c r="CI76" s="8"/>
      <c r="CJ76" s="8"/>
      <c r="CK76" s="8"/>
      <c r="CL76" s="8"/>
      <c r="CM76" s="8"/>
      <c r="CN76" s="8"/>
      <c r="CO76" s="8"/>
      <c r="CP76" s="8"/>
      <c r="CQ76" s="8"/>
      <c r="CR76" s="8"/>
      <c r="CS76" s="8"/>
      <c r="CT76" s="8"/>
      <c r="CV76" s="8"/>
      <c r="CW76" s="8"/>
      <c r="CX76" s="8"/>
      <c r="CY76" s="8"/>
      <c r="CZ76" s="8"/>
      <c r="DA76" s="8"/>
      <c r="DB76" s="8"/>
      <c r="DC76" s="8"/>
      <c r="DD76" s="8"/>
      <c r="DE76" s="8"/>
      <c r="DF76" s="8"/>
      <c r="DG76" s="8"/>
      <c r="DH76" s="8"/>
      <c r="DI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row>
    <row r="77" spans="1:158" x14ac:dyDescent="0.35">
      <c r="A77" s="35"/>
      <c r="B77" s="300"/>
      <c r="C77" s="286" t="s">
        <v>213</v>
      </c>
      <c r="D77" s="505"/>
      <c r="E77" s="505"/>
      <c r="F77" s="505"/>
      <c r="G77" s="505"/>
      <c r="H77" s="505"/>
      <c r="I77" s="221"/>
      <c r="J77" s="221"/>
      <c r="K77" s="8"/>
      <c r="L77" s="8"/>
      <c r="M77" s="8"/>
      <c r="N77" s="8"/>
      <c r="O77" s="8"/>
      <c r="P77" s="8"/>
      <c r="R77" s="8"/>
      <c r="S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17"/>
      <c r="CH77" s="17"/>
      <c r="CI77" s="8"/>
      <c r="CJ77" s="8"/>
      <c r="CK77" s="8"/>
      <c r="CL77" s="8"/>
      <c r="CM77" s="8"/>
      <c r="CN77" s="8"/>
      <c r="CO77" s="8"/>
      <c r="CP77" s="8"/>
      <c r="CQ77" s="8"/>
      <c r="CR77" s="8"/>
      <c r="CS77" s="8"/>
      <c r="CT77" s="8"/>
      <c r="CV77" s="8"/>
      <c r="CW77" s="8"/>
      <c r="CX77" s="8"/>
      <c r="CY77" s="8"/>
      <c r="CZ77" s="8"/>
      <c r="DA77" s="8"/>
      <c r="DB77" s="8"/>
      <c r="DC77" s="8"/>
      <c r="DD77" s="8"/>
      <c r="DE77" s="8"/>
      <c r="DF77" s="8"/>
      <c r="DG77" s="8"/>
      <c r="DH77" s="8"/>
      <c r="DI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row>
    <row r="78" spans="1:158" ht="27" customHeight="1" x14ac:dyDescent="0.35">
      <c r="A78" s="35"/>
      <c r="B78" s="299" t="s">
        <v>273</v>
      </c>
      <c r="C78" s="551" t="s">
        <v>299</v>
      </c>
      <c r="D78" s="551"/>
      <c r="E78" s="551"/>
      <c r="F78" s="551"/>
      <c r="G78" s="551"/>
      <c r="H78" s="505"/>
      <c r="I78" s="221"/>
      <c r="J78" s="221"/>
      <c r="K78" s="8"/>
      <c r="L78" s="8"/>
      <c r="M78" s="8"/>
      <c r="N78" s="8"/>
      <c r="O78" s="8"/>
      <c r="P78" s="8"/>
      <c r="R78" s="8"/>
      <c r="S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17"/>
      <c r="CH78" s="17"/>
      <c r="CI78" s="8"/>
      <c r="CJ78" s="8"/>
      <c r="CK78" s="8"/>
      <c r="CL78" s="8"/>
      <c r="CM78" s="8"/>
      <c r="CN78" s="8"/>
      <c r="CO78" s="8"/>
      <c r="CP78" s="8"/>
      <c r="CQ78" s="8"/>
      <c r="CR78" s="8"/>
      <c r="CS78" s="8"/>
      <c r="CT78" s="8"/>
      <c r="CV78" s="8"/>
      <c r="CW78" s="8"/>
      <c r="CX78" s="8"/>
      <c r="CY78" s="8"/>
      <c r="CZ78" s="8"/>
      <c r="DA78" s="8"/>
      <c r="DB78" s="8"/>
      <c r="DC78" s="8"/>
      <c r="DD78" s="8"/>
      <c r="DE78" s="8"/>
      <c r="DF78" s="8"/>
      <c r="DG78" s="8"/>
      <c r="DH78" s="8"/>
      <c r="DI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row>
    <row r="79" spans="1:158" x14ac:dyDescent="0.35">
      <c r="A79" s="35"/>
      <c r="B79" s="300"/>
      <c r="C79" s="286" t="s">
        <v>100</v>
      </c>
      <c r="D79" s="287"/>
      <c r="E79" s="286"/>
      <c r="F79" s="505"/>
      <c r="G79" s="505"/>
      <c r="H79" s="505"/>
      <c r="I79" s="221"/>
      <c r="J79" s="221"/>
      <c r="K79" s="8"/>
      <c r="L79" s="8"/>
      <c r="M79" s="8"/>
      <c r="N79" s="8"/>
      <c r="O79" s="8"/>
      <c r="P79" s="8"/>
      <c r="R79" s="8"/>
      <c r="S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17"/>
      <c r="CH79" s="17"/>
      <c r="CI79" s="8"/>
      <c r="CJ79" s="8"/>
      <c r="CK79" s="8"/>
      <c r="CL79" s="8"/>
      <c r="CM79" s="8"/>
      <c r="CN79" s="8"/>
      <c r="CO79" s="8"/>
      <c r="CP79" s="8"/>
      <c r="CQ79" s="8"/>
      <c r="CR79" s="8"/>
      <c r="CS79" s="8"/>
      <c r="CT79" s="8"/>
      <c r="CV79" s="8"/>
      <c r="CW79" s="8"/>
      <c r="CX79" s="8"/>
      <c r="CY79" s="8"/>
      <c r="CZ79" s="8"/>
      <c r="DA79" s="8"/>
      <c r="DB79" s="8"/>
      <c r="DC79" s="8"/>
      <c r="DD79" s="8"/>
      <c r="DE79" s="8"/>
      <c r="DF79" s="8"/>
      <c r="DG79" s="8"/>
      <c r="DH79" s="8"/>
      <c r="DI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row>
    <row r="80" spans="1:158" ht="27" customHeight="1" x14ac:dyDescent="0.35">
      <c r="A80" s="35"/>
      <c r="B80" s="299" t="s">
        <v>274</v>
      </c>
      <c r="C80" s="551" t="s">
        <v>283</v>
      </c>
      <c r="D80" s="551"/>
      <c r="E80" s="551"/>
      <c r="F80" s="551"/>
      <c r="G80" s="551"/>
      <c r="H80" s="505"/>
      <c r="I80" s="221"/>
      <c r="J80" s="221"/>
      <c r="K80" s="8"/>
      <c r="L80" s="8"/>
      <c r="M80" s="8"/>
      <c r="N80" s="8"/>
      <c r="O80" s="8"/>
      <c r="P80" s="8"/>
      <c r="R80" s="8"/>
      <c r="S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17"/>
      <c r="CH80" s="17"/>
      <c r="CI80" s="8"/>
      <c r="CJ80" s="8"/>
      <c r="CK80" s="8"/>
      <c r="CL80" s="8"/>
      <c r="CM80" s="8"/>
      <c r="CN80" s="8"/>
      <c r="CO80" s="8"/>
      <c r="CP80" s="8"/>
      <c r="CQ80" s="8"/>
      <c r="CR80" s="8"/>
      <c r="CS80" s="8"/>
      <c r="CT80" s="8"/>
      <c r="CV80" s="8"/>
      <c r="CW80" s="8"/>
      <c r="CX80" s="8"/>
      <c r="CY80" s="8"/>
      <c r="CZ80" s="8"/>
      <c r="DA80" s="8"/>
      <c r="DB80" s="8"/>
      <c r="DC80" s="8"/>
      <c r="DD80" s="8"/>
      <c r="DE80" s="8"/>
      <c r="DF80" s="8"/>
      <c r="DG80" s="8"/>
      <c r="DH80" s="8"/>
      <c r="DI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row>
    <row r="81" spans="1:158" x14ac:dyDescent="0.35">
      <c r="A81" s="35"/>
      <c r="B81" s="300"/>
      <c r="C81" s="286" t="s">
        <v>221</v>
      </c>
      <c r="D81" s="287"/>
      <c r="E81" s="286"/>
      <c r="F81" s="505"/>
      <c r="G81" s="505"/>
      <c r="H81" s="505"/>
      <c r="I81" s="221"/>
      <c r="J81" s="221"/>
      <c r="K81" s="8"/>
      <c r="L81" s="8"/>
      <c r="M81" s="8"/>
      <c r="N81" s="8"/>
      <c r="O81" s="8"/>
      <c r="P81" s="8"/>
      <c r="R81" s="8"/>
      <c r="S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17"/>
      <c r="CH81" s="17"/>
      <c r="CI81" s="8"/>
      <c r="CJ81" s="8"/>
      <c r="CK81" s="8"/>
      <c r="CL81" s="8"/>
      <c r="CM81" s="8"/>
      <c r="CN81" s="8"/>
      <c r="CO81" s="8"/>
      <c r="CP81" s="8"/>
      <c r="CQ81" s="8"/>
      <c r="CR81" s="8"/>
      <c r="CS81" s="8"/>
      <c r="CT81" s="8"/>
      <c r="CV81" s="8"/>
      <c r="CW81" s="8"/>
      <c r="CX81" s="8"/>
      <c r="CY81" s="8"/>
      <c r="CZ81" s="8"/>
      <c r="DA81" s="8"/>
      <c r="DB81" s="8"/>
      <c r="DC81" s="8"/>
      <c r="DD81" s="8"/>
      <c r="DE81" s="8"/>
      <c r="DF81" s="8"/>
      <c r="DG81" s="8"/>
      <c r="DH81" s="8"/>
      <c r="DI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row>
    <row r="82" spans="1:158" x14ac:dyDescent="0.35">
      <c r="A82" s="35"/>
      <c r="B82" s="296" t="s">
        <v>311</v>
      </c>
      <c r="C82" s="288" t="s">
        <v>284</v>
      </c>
      <c r="D82" s="294"/>
      <c r="E82" s="288"/>
      <c r="F82" s="288"/>
      <c r="G82" s="288"/>
      <c r="H82" s="288"/>
      <c r="I82" s="66"/>
      <c r="J82" s="66"/>
      <c r="K82" s="8"/>
      <c r="L82" s="8"/>
      <c r="M82" s="8"/>
      <c r="N82" s="8"/>
      <c r="O82" s="8"/>
      <c r="P82" s="8"/>
      <c r="R82" s="8"/>
      <c r="S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V82" s="8"/>
      <c r="CW82" s="8"/>
      <c r="CX82" s="8"/>
      <c r="CY82" s="8"/>
      <c r="CZ82" s="8"/>
      <c r="DA82" s="8"/>
      <c r="DB82" s="8"/>
      <c r="DC82" s="8"/>
      <c r="DD82" s="8"/>
      <c r="DE82" s="8"/>
      <c r="DF82" s="8"/>
      <c r="DG82" s="8"/>
      <c r="DH82" s="8"/>
      <c r="DI82" s="8"/>
      <c r="DL82" s="8"/>
      <c r="DM82" s="8"/>
      <c r="DN82" s="8"/>
      <c r="DO82" s="8"/>
      <c r="DP82" s="8"/>
      <c r="DQ82" s="8"/>
      <c r="DR82" s="8"/>
      <c r="DS82" s="8"/>
      <c r="DT82" s="8"/>
      <c r="DU82" s="8"/>
      <c r="DV82" s="8"/>
      <c r="DW82" s="8"/>
      <c r="DX82" s="8"/>
      <c r="DY82" s="8"/>
      <c r="DZ82" s="8"/>
      <c r="EA82" s="8"/>
      <c r="EB82" s="8"/>
    </row>
    <row r="83" spans="1:158" x14ac:dyDescent="0.35">
      <c r="A83" s="35"/>
      <c r="B83" s="300"/>
      <c r="C83" s="286" t="s">
        <v>136</v>
      </c>
      <c r="D83" s="287"/>
      <c r="E83" s="286"/>
      <c r="F83" s="288"/>
      <c r="G83" s="288"/>
      <c r="H83" s="288"/>
      <c r="I83" s="121"/>
      <c r="J83" s="121"/>
      <c r="K83" s="8"/>
      <c r="L83" s="8"/>
      <c r="M83" s="8"/>
      <c r="N83" s="8"/>
      <c r="O83" s="8"/>
      <c r="P83" s="8"/>
      <c r="R83" s="8"/>
      <c r="S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17"/>
      <c r="CH83" s="17"/>
      <c r="CI83" s="8"/>
      <c r="CJ83" s="8"/>
      <c r="CK83" s="8"/>
      <c r="CL83" s="8"/>
      <c r="CM83" s="8"/>
      <c r="CN83" s="8"/>
      <c r="CO83" s="8"/>
      <c r="CP83" s="8"/>
      <c r="CQ83" s="8"/>
      <c r="CR83" s="8"/>
      <c r="CS83" s="8"/>
      <c r="CT83" s="8"/>
      <c r="CV83" s="8"/>
      <c r="CW83" s="8"/>
      <c r="CX83" s="8"/>
      <c r="CY83" s="8"/>
      <c r="CZ83" s="8"/>
      <c r="DA83" s="8"/>
      <c r="DB83" s="8"/>
      <c r="DC83" s="8"/>
      <c r="DD83" s="8"/>
      <c r="DE83" s="8"/>
      <c r="DF83" s="8"/>
      <c r="DG83" s="8"/>
      <c r="DH83" s="8"/>
      <c r="DI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row>
    <row r="84" spans="1:158" x14ac:dyDescent="0.35">
      <c r="A84" s="35"/>
      <c r="B84" s="296" t="s">
        <v>345</v>
      </c>
      <c r="C84" s="288" t="s">
        <v>285</v>
      </c>
      <c r="D84" s="505"/>
      <c r="E84" s="505"/>
      <c r="F84" s="505"/>
      <c r="G84" s="505"/>
      <c r="H84" s="505"/>
      <c r="I84" s="136"/>
      <c r="J84" s="136"/>
      <c r="K84" s="24"/>
      <c r="L84" s="24"/>
      <c r="M84" s="24"/>
      <c r="N84" s="24"/>
      <c r="O84" s="24"/>
      <c r="P84" s="24"/>
      <c r="Q84" s="32"/>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row>
    <row r="85" spans="1:158" x14ac:dyDescent="0.35">
      <c r="B85" s="286"/>
      <c r="C85" s="286" t="s">
        <v>200</v>
      </c>
      <c r="D85" s="287"/>
      <c r="E85" s="286"/>
      <c r="F85" s="288"/>
      <c r="G85" s="288"/>
      <c r="H85" s="288"/>
      <c r="I85" s="121"/>
      <c r="J85" s="121"/>
      <c r="K85" s="24"/>
      <c r="L85" s="24"/>
      <c r="M85" s="24"/>
      <c r="N85" s="24"/>
      <c r="O85" s="24"/>
      <c r="P85" s="24"/>
      <c r="Q85" s="32"/>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row>
    <row r="86" spans="1:158" x14ac:dyDescent="0.35">
      <c r="B86" s="291"/>
      <c r="C86" s="291"/>
      <c r="D86" s="291"/>
      <c r="E86" s="291"/>
      <c r="F86" s="291"/>
      <c r="G86" s="291"/>
      <c r="H86" s="291"/>
    </row>
    <row r="87" spans="1:158" x14ac:dyDescent="0.35">
      <c r="B87" s="293" t="s">
        <v>84</v>
      </c>
      <c r="C87" s="293"/>
      <c r="D87" s="295"/>
      <c r="E87" s="288"/>
      <c r="F87" s="288"/>
      <c r="G87" s="288"/>
      <c r="H87" s="288"/>
      <c r="I87" s="66"/>
      <c r="J87" s="66"/>
      <c r="K87" s="8"/>
      <c r="L87" s="8"/>
      <c r="M87" s="8"/>
      <c r="N87" s="8"/>
      <c r="O87" s="8"/>
      <c r="P87" s="8"/>
      <c r="R87" s="8"/>
      <c r="S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V87" s="8"/>
      <c r="CW87" s="8"/>
      <c r="CX87" s="8"/>
      <c r="CY87" s="8"/>
      <c r="CZ87" s="8"/>
      <c r="DA87" s="8"/>
      <c r="DB87" s="8"/>
      <c r="DC87" s="8"/>
      <c r="DD87" s="8"/>
      <c r="DE87" s="8"/>
      <c r="DF87" s="8"/>
      <c r="DG87" s="8"/>
      <c r="DH87" s="8"/>
      <c r="DI87" s="8"/>
      <c r="DL87" s="8"/>
      <c r="DM87" s="8"/>
      <c r="DN87" s="8"/>
      <c r="DO87" s="8"/>
      <c r="DP87" s="8"/>
      <c r="DQ87" s="8"/>
      <c r="DR87" s="8"/>
      <c r="DS87" s="8"/>
      <c r="DT87" s="8"/>
      <c r="DU87" s="8"/>
      <c r="DV87" s="8"/>
      <c r="DW87" s="8"/>
      <c r="DX87" s="8"/>
      <c r="DY87" s="8"/>
      <c r="DZ87" s="8"/>
      <c r="EA87" s="8"/>
      <c r="EB87" s="8"/>
    </row>
    <row r="88" spans="1:158" ht="51" customHeight="1" x14ac:dyDescent="0.35">
      <c r="B88" s="298" t="s">
        <v>256</v>
      </c>
      <c r="C88" s="567" t="s">
        <v>387</v>
      </c>
      <c r="D88" s="567"/>
      <c r="E88" s="567"/>
      <c r="F88" s="567"/>
      <c r="G88" s="567"/>
      <c r="H88" s="517"/>
      <c r="I88" s="436"/>
      <c r="J88" s="436"/>
      <c r="T88"/>
      <c r="BE88"/>
      <c r="BF88"/>
      <c r="DJ88"/>
      <c r="DK88"/>
    </row>
    <row r="89" spans="1:158" ht="27" customHeight="1" x14ac:dyDescent="0.35">
      <c r="B89" s="298" t="s">
        <v>263</v>
      </c>
      <c r="C89" s="551" t="s">
        <v>396</v>
      </c>
      <c r="D89" s="551"/>
      <c r="E89" s="551"/>
      <c r="F89" s="551"/>
      <c r="G89" s="551"/>
      <c r="H89" s="505"/>
      <c r="I89" s="221"/>
      <c r="J89" s="221"/>
      <c r="K89" s="8"/>
      <c r="L89" s="8"/>
      <c r="M89" s="8"/>
      <c r="N89" s="8"/>
      <c r="O89" s="8"/>
      <c r="P89" s="8"/>
      <c r="R89" s="8"/>
      <c r="S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V89" s="8"/>
      <c r="CW89" s="8"/>
      <c r="CX89" s="8"/>
      <c r="CY89" s="8"/>
      <c r="CZ89" s="8"/>
      <c r="DA89" s="8"/>
      <c r="DB89" s="8"/>
      <c r="DC89" s="8"/>
      <c r="DD89" s="8"/>
      <c r="DE89" s="8"/>
      <c r="DF89" s="8"/>
      <c r="DG89" s="8"/>
      <c r="DH89" s="8"/>
      <c r="DI89" s="8"/>
      <c r="DL89" s="8"/>
      <c r="DM89" s="8"/>
      <c r="DN89" s="8"/>
      <c r="DO89" s="8"/>
      <c r="DP89" s="8"/>
      <c r="DQ89" s="8"/>
      <c r="DR89" s="8"/>
      <c r="DS89" s="8"/>
      <c r="DT89" s="8"/>
      <c r="DU89" s="8"/>
      <c r="DV89" s="8"/>
      <c r="DW89" s="8"/>
      <c r="DX89" s="8"/>
      <c r="DY89" s="8"/>
      <c r="DZ89" s="8"/>
      <c r="EA89" s="8"/>
      <c r="EB89" s="8"/>
    </row>
    <row r="90" spans="1:158" ht="27" customHeight="1" x14ac:dyDescent="0.35">
      <c r="B90" s="298" t="s">
        <v>264</v>
      </c>
      <c r="C90" s="551" t="s">
        <v>346</v>
      </c>
      <c r="D90" s="551"/>
      <c r="E90" s="551"/>
      <c r="F90" s="551"/>
      <c r="G90" s="551"/>
      <c r="H90" s="505"/>
      <c r="I90" s="221"/>
      <c r="J90" s="221"/>
      <c r="K90" s="8"/>
      <c r="L90" s="8"/>
      <c r="M90" s="8"/>
      <c r="N90" s="8"/>
      <c r="O90" s="8"/>
      <c r="P90" s="8"/>
      <c r="R90" s="8"/>
      <c r="S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V90" s="8"/>
      <c r="CW90" s="8"/>
      <c r="CX90" s="8"/>
      <c r="CY90" s="8"/>
      <c r="CZ90" s="8"/>
      <c r="DA90" s="8"/>
      <c r="DB90" s="8"/>
      <c r="DC90" s="8"/>
      <c r="DD90" s="8"/>
      <c r="DE90" s="8"/>
      <c r="DF90" s="8"/>
      <c r="DG90" s="8"/>
      <c r="DH90" s="8"/>
      <c r="DI90" s="8"/>
      <c r="DL90" s="8"/>
      <c r="DM90" s="8"/>
      <c r="DN90" s="8"/>
      <c r="DO90" s="8"/>
      <c r="DP90" s="8"/>
      <c r="DQ90" s="8"/>
      <c r="DR90" s="8"/>
      <c r="DS90" s="8"/>
      <c r="DT90" s="8"/>
      <c r="DU90" s="8"/>
      <c r="DV90" s="8"/>
      <c r="DW90" s="8"/>
      <c r="DX90" s="8"/>
      <c r="DY90" s="8"/>
      <c r="DZ90" s="8"/>
      <c r="EA90" s="8"/>
      <c r="EB90" s="8"/>
    </row>
    <row r="91" spans="1:158" ht="15" customHeight="1" x14ac:dyDescent="0.35">
      <c r="B91" s="298" t="s">
        <v>265</v>
      </c>
      <c r="C91" s="551" t="s">
        <v>460</v>
      </c>
      <c r="D91" s="551"/>
      <c r="E91" s="551"/>
      <c r="F91" s="551"/>
      <c r="G91" s="551"/>
      <c r="H91" s="505"/>
      <c r="I91" s="221"/>
      <c r="J91" s="221"/>
      <c r="K91" s="8"/>
      <c r="L91" s="8"/>
      <c r="M91" s="8"/>
      <c r="N91" s="8"/>
      <c r="O91" s="8"/>
      <c r="P91" s="8"/>
      <c r="R91" s="8"/>
      <c r="S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V91" s="8"/>
      <c r="CW91" s="8"/>
      <c r="CX91" s="8"/>
      <c r="CY91" s="8"/>
      <c r="CZ91" s="8"/>
      <c r="DA91" s="8"/>
      <c r="DB91" s="8"/>
      <c r="DC91" s="8"/>
      <c r="DD91" s="8"/>
      <c r="DE91" s="8"/>
      <c r="DF91" s="8"/>
      <c r="DG91" s="8"/>
      <c r="DH91" s="8"/>
      <c r="DI91" s="8"/>
      <c r="DL91" s="8"/>
      <c r="DM91" s="8"/>
      <c r="DN91" s="8"/>
      <c r="DO91" s="8"/>
      <c r="DP91" s="8"/>
      <c r="DQ91" s="8"/>
      <c r="DR91" s="8"/>
      <c r="DS91" s="8"/>
      <c r="DT91" s="8"/>
      <c r="DU91" s="8"/>
      <c r="DV91" s="8"/>
      <c r="DW91" s="8"/>
      <c r="DX91" s="8"/>
      <c r="DY91" s="8"/>
      <c r="DZ91" s="8"/>
      <c r="EA91" s="8"/>
      <c r="EB91" s="8"/>
    </row>
    <row r="92" spans="1:158" ht="51" customHeight="1" x14ac:dyDescent="0.35">
      <c r="B92" s="298" t="s">
        <v>266</v>
      </c>
      <c r="C92" s="551" t="s">
        <v>341</v>
      </c>
      <c r="D92" s="551"/>
      <c r="E92" s="551"/>
      <c r="F92" s="551"/>
      <c r="G92" s="551"/>
      <c r="H92" s="505"/>
      <c r="I92" s="221"/>
      <c r="J92" s="221"/>
      <c r="K92" s="8"/>
      <c r="L92" s="8"/>
      <c r="M92" s="8"/>
      <c r="N92" s="8"/>
      <c r="O92" s="8"/>
      <c r="P92" s="8"/>
      <c r="R92" s="8"/>
      <c r="S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V92" s="8"/>
      <c r="CW92" s="8"/>
      <c r="CX92" s="8"/>
      <c r="CY92" s="8"/>
      <c r="CZ92" s="8"/>
      <c r="DA92" s="8"/>
      <c r="DB92" s="8"/>
      <c r="DC92" s="8"/>
      <c r="DD92" s="8"/>
      <c r="DE92" s="8"/>
      <c r="DF92" s="8"/>
      <c r="DG92" s="8"/>
      <c r="DH92" s="8"/>
      <c r="DI92" s="8"/>
      <c r="DL92" s="8"/>
      <c r="DM92" s="8"/>
      <c r="DN92" s="8"/>
      <c r="DO92" s="8"/>
      <c r="DP92" s="8"/>
      <c r="DQ92" s="8"/>
      <c r="DR92" s="8"/>
      <c r="DS92" s="8"/>
      <c r="DT92" s="8"/>
      <c r="DU92" s="8"/>
      <c r="DV92" s="8"/>
      <c r="DW92" s="8"/>
      <c r="DX92" s="8"/>
      <c r="DY92" s="8"/>
      <c r="DZ92" s="8"/>
      <c r="EA92" s="8"/>
      <c r="EB92" s="8"/>
    </row>
    <row r="93" spans="1:158" ht="39" customHeight="1" x14ac:dyDescent="0.35">
      <c r="B93" s="298" t="s">
        <v>267</v>
      </c>
      <c r="C93" s="551" t="s">
        <v>286</v>
      </c>
      <c r="D93" s="551"/>
      <c r="E93" s="551"/>
      <c r="F93" s="551"/>
      <c r="G93" s="551"/>
      <c r="H93" s="505"/>
      <c r="I93" s="221"/>
      <c r="J93" s="221"/>
      <c r="K93" s="8"/>
      <c r="L93" s="8"/>
      <c r="M93" s="8"/>
      <c r="N93" s="8"/>
      <c r="O93" s="8"/>
      <c r="P93" s="8"/>
      <c r="R93" s="8"/>
      <c r="S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V93" s="8"/>
      <c r="CW93" s="8"/>
      <c r="CX93" s="8"/>
      <c r="CY93" s="8"/>
      <c r="CZ93" s="8"/>
      <c r="DA93" s="8"/>
      <c r="DB93" s="8"/>
      <c r="DC93" s="8"/>
      <c r="DD93" s="8"/>
      <c r="DE93" s="8"/>
      <c r="DF93" s="8"/>
      <c r="DG93" s="8"/>
      <c r="DH93" s="8"/>
      <c r="DI93" s="8"/>
      <c r="DL93" s="8"/>
      <c r="DM93" s="8"/>
      <c r="DN93" s="8"/>
      <c r="DO93" s="8"/>
      <c r="DP93" s="8"/>
      <c r="DQ93" s="8"/>
      <c r="DR93" s="8"/>
      <c r="DS93" s="8"/>
      <c r="DT93" s="8"/>
      <c r="DU93" s="8"/>
      <c r="DV93" s="8"/>
      <c r="DW93" s="8"/>
      <c r="DX93" s="8"/>
      <c r="DY93" s="8"/>
      <c r="DZ93" s="8"/>
      <c r="EA93" s="8"/>
      <c r="EB93" s="8"/>
    </row>
    <row r="94" spans="1:158" ht="15" customHeight="1" x14ac:dyDescent="0.35">
      <c r="B94" s="298" t="s">
        <v>268</v>
      </c>
      <c r="C94" s="551" t="s">
        <v>287</v>
      </c>
      <c r="D94" s="551"/>
      <c r="E94" s="551"/>
      <c r="F94" s="551"/>
      <c r="G94" s="551"/>
      <c r="H94" s="505"/>
      <c r="I94" s="221"/>
      <c r="J94" s="221"/>
      <c r="K94" s="8"/>
      <c r="L94" s="8"/>
      <c r="M94" s="8"/>
      <c r="N94" s="8"/>
      <c r="O94" s="8"/>
      <c r="P94" s="8"/>
      <c r="R94" s="8"/>
      <c r="S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V94" s="8"/>
      <c r="CW94" s="8"/>
      <c r="CX94" s="8"/>
      <c r="CY94" s="8"/>
      <c r="CZ94" s="8"/>
      <c r="DA94" s="8"/>
      <c r="DB94" s="8"/>
      <c r="DC94" s="8"/>
      <c r="DD94" s="8"/>
      <c r="DE94" s="8"/>
      <c r="DF94" s="8"/>
      <c r="DG94" s="8"/>
      <c r="DH94" s="8"/>
      <c r="DI94" s="8"/>
      <c r="DL94" s="8"/>
      <c r="DM94" s="8"/>
      <c r="DN94" s="8"/>
      <c r="DO94" s="8"/>
      <c r="DP94" s="8"/>
      <c r="DQ94" s="8"/>
      <c r="DR94" s="8"/>
      <c r="DS94" s="8"/>
      <c r="DT94" s="8"/>
      <c r="DU94" s="8"/>
      <c r="DV94" s="8"/>
      <c r="DW94" s="8"/>
      <c r="DX94" s="8"/>
      <c r="DY94" s="8"/>
      <c r="DZ94" s="8"/>
      <c r="EA94" s="8"/>
      <c r="EB94" s="8"/>
    </row>
    <row r="95" spans="1:158" x14ac:dyDescent="0.35">
      <c r="B95" s="298" t="s">
        <v>269</v>
      </c>
      <c r="C95" s="566" t="s">
        <v>288</v>
      </c>
      <c r="D95" s="566"/>
      <c r="E95" s="566"/>
      <c r="F95" s="566"/>
      <c r="G95" s="566"/>
      <c r="H95" s="516"/>
      <c r="I95" s="219"/>
      <c r="J95" s="219"/>
      <c r="K95" s="8"/>
      <c r="L95" s="8"/>
      <c r="M95" s="8"/>
      <c r="N95" s="8"/>
      <c r="O95" s="8"/>
      <c r="P95" s="8"/>
      <c r="R95" s="8"/>
      <c r="S95" s="8"/>
      <c r="U95" s="8"/>
      <c r="V95" s="8"/>
      <c r="W95" s="8"/>
      <c r="X95" s="8"/>
      <c r="Y95" s="8"/>
      <c r="Z95" s="8"/>
      <c r="AA95" s="8"/>
      <c r="AB95" s="8"/>
      <c r="AC95" s="8"/>
      <c r="AD95" s="8"/>
      <c r="AE95" s="8"/>
      <c r="AF95" s="8"/>
      <c r="AG95" s="8"/>
      <c r="AH95" s="39"/>
      <c r="AI95" s="39"/>
      <c r="AJ95" s="8"/>
      <c r="AK95" s="8"/>
      <c r="AL95" s="8"/>
      <c r="AM95" s="8"/>
      <c r="AN95" s="8"/>
      <c r="AO95" s="8"/>
      <c r="AP95" s="8"/>
      <c r="AQ95" s="8"/>
      <c r="AR95" s="8"/>
      <c r="AS95" s="8"/>
      <c r="AT95" s="8"/>
      <c r="AU95" s="8"/>
      <c r="AV95" s="8"/>
      <c r="AW95" s="8"/>
      <c r="AX95" s="8"/>
      <c r="AY95" s="8"/>
      <c r="AZ95" s="8"/>
      <c r="BA95" s="8"/>
      <c r="BB95" s="8"/>
      <c r="BC95" s="8"/>
      <c r="BD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V95" s="8"/>
      <c r="CW95" s="8"/>
      <c r="CX95" s="8"/>
      <c r="CY95" s="8"/>
      <c r="CZ95" s="8"/>
      <c r="DA95" s="8"/>
      <c r="DB95" s="8"/>
      <c r="DC95" s="8"/>
      <c r="DD95" s="8"/>
      <c r="DE95" s="8"/>
      <c r="DF95" s="8"/>
      <c r="DG95" s="8"/>
      <c r="DH95" s="8"/>
      <c r="DI95" s="8"/>
      <c r="DL95" s="8"/>
      <c r="DM95" s="8"/>
      <c r="DN95" s="8"/>
      <c r="DO95" s="8"/>
      <c r="DP95" s="8"/>
      <c r="DQ95" s="8"/>
      <c r="DR95" s="8"/>
      <c r="DS95" s="8"/>
      <c r="DT95" s="8"/>
      <c r="DU95" s="8"/>
      <c r="DV95" s="8"/>
      <c r="DW95" s="8"/>
      <c r="DX95" s="8"/>
      <c r="DY95" s="8"/>
      <c r="DZ95" s="8"/>
      <c r="EA95" s="8"/>
      <c r="EB95" s="8"/>
    </row>
    <row r="96" spans="1:158" x14ac:dyDescent="0.35">
      <c r="B96" s="298" t="s">
        <v>270</v>
      </c>
      <c r="C96" s="499" t="s">
        <v>391</v>
      </c>
      <c r="D96" s="516"/>
      <c r="E96" s="516"/>
      <c r="F96" s="516"/>
      <c r="G96" s="516"/>
      <c r="H96" s="516"/>
      <c r="I96" s="219"/>
      <c r="J96" s="219"/>
      <c r="K96" s="8"/>
      <c r="L96" s="8"/>
      <c r="M96" s="8"/>
      <c r="N96" s="8"/>
      <c r="O96" s="8"/>
      <c r="P96" s="8"/>
      <c r="R96" s="8"/>
      <c r="S96" s="8"/>
      <c r="U96" s="8"/>
      <c r="V96" s="8"/>
      <c r="W96" s="8"/>
      <c r="X96" s="8"/>
      <c r="Y96" s="8"/>
      <c r="Z96" s="8"/>
      <c r="AA96" s="8"/>
      <c r="AB96" s="8"/>
      <c r="AC96" s="8"/>
      <c r="AD96" s="8"/>
      <c r="AE96" s="8"/>
      <c r="AF96" s="8"/>
      <c r="AG96" s="8"/>
      <c r="AH96" s="39"/>
      <c r="AI96" s="39"/>
      <c r="AJ96" s="8"/>
      <c r="AK96" s="8"/>
      <c r="AL96" s="8"/>
      <c r="AM96" s="8"/>
      <c r="AN96" s="8"/>
      <c r="AO96" s="8"/>
      <c r="AP96" s="8"/>
      <c r="AQ96" s="8"/>
      <c r="AR96" s="8"/>
      <c r="AS96" s="8"/>
      <c r="AT96" s="8"/>
      <c r="AU96" s="8"/>
      <c r="AV96" s="8"/>
      <c r="AW96" s="8"/>
      <c r="AX96" s="8"/>
      <c r="AY96" s="8"/>
      <c r="AZ96" s="8"/>
      <c r="BA96" s="8"/>
      <c r="BB96" s="8"/>
      <c r="BC96" s="8"/>
      <c r="BD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V96" s="8"/>
      <c r="CW96" s="8"/>
      <c r="CX96" s="8"/>
      <c r="CY96" s="8"/>
      <c r="CZ96" s="8"/>
      <c r="DA96" s="8"/>
      <c r="DB96" s="8"/>
      <c r="DC96" s="8"/>
      <c r="DD96" s="8"/>
      <c r="DE96" s="8"/>
      <c r="DF96" s="8"/>
      <c r="DG96" s="8"/>
      <c r="DH96" s="8"/>
      <c r="DI96" s="8"/>
      <c r="DL96" s="8"/>
      <c r="DM96" s="8"/>
      <c r="DN96" s="8"/>
      <c r="DO96" s="8"/>
      <c r="DP96" s="8"/>
      <c r="DQ96" s="8"/>
      <c r="DR96" s="8"/>
      <c r="DS96" s="8"/>
      <c r="DT96" s="8"/>
      <c r="DU96" s="8"/>
      <c r="DV96" s="8"/>
      <c r="DW96" s="8"/>
      <c r="DX96" s="8"/>
      <c r="DY96" s="8"/>
      <c r="DZ96" s="8"/>
      <c r="EA96" s="8"/>
      <c r="EB96" s="8"/>
    </row>
    <row r="97" spans="2:132" x14ac:dyDescent="0.35">
      <c r="B97" s="298" t="s">
        <v>271</v>
      </c>
      <c r="C97" s="287" t="s">
        <v>258</v>
      </c>
      <c r="D97" s="287"/>
      <c r="E97" s="290"/>
      <c r="F97" s="289"/>
      <c r="G97" s="289"/>
      <c r="H97" s="289"/>
      <c r="I97" s="8"/>
      <c r="J97" s="8"/>
      <c r="K97" s="8"/>
      <c r="L97" s="8"/>
      <c r="M97" s="8"/>
      <c r="N97" s="8"/>
      <c r="O97" s="8"/>
      <c r="P97" s="8"/>
      <c r="R97" s="8"/>
      <c r="S97" s="8"/>
      <c r="U97" s="8"/>
      <c r="V97" s="8"/>
      <c r="W97" s="8"/>
      <c r="X97" s="8"/>
      <c r="Y97" s="8"/>
      <c r="Z97" s="8"/>
      <c r="AA97" s="8"/>
      <c r="AB97" s="8"/>
      <c r="AC97" s="8"/>
      <c r="AD97" s="8"/>
      <c r="AE97" s="8"/>
      <c r="AF97" s="8"/>
      <c r="AG97" s="8"/>
      <c r="AH97" s="39"/>
      <c r="AI97" s="39"/>
      <c r="AJ97" s="8"/>
      <c r="AK97" s="8"/>
      <c r="AL97" s="8"/>
      <c r="AM97" s="8"/>
      <c r="AN97" s="8"/>
      <c r="AO97" s="8"/>
      <c r="AP97" s="8"/>
      <c r="AQ97" s="8"/>
      <c r="AR97" s="8"/>
      <c r="AS97" s="8"/>
      <c r="AT97" s="8"/>
      <c r="AU97" s="8"/>
      <c r="AV97" s="8"/>
      <c r="AW97" s="8"/>
      <c r="AX97" s="8"/>
      <c r="AY97" s="8"/>
      <c r="AZ97" s="8"/>
      <c r="BA97" s="8"/>
      <c r="BB97" s="8"/>
      <c r="BC97" s="8"/>
      <c r="BD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V97" s="8"/>
      <c r="CW97" s="8"/>
      <c r="CX97" s="8"/>
      <c r="CY97" s="8"/>
      <c r="CZ97" s="8"/>
      <c r="DA97" s="8"/>
      <c r="DB97" s="8"/>
      <c r="DC97" s="8"/>
      <c r="DD97" s="8"/>
      <c r="DE97" s="8"/>
      <c r="DF97" s="8"/>
      <c r="DG97" s="8"/>
      <c r="DH97" s="8"/>
      <c r="DI97" s="8"/>
      <c r="DL97" s="8"/>
      <c r="DM97" s="8"/>
      <c r="DN97" s="8"/>
      <c r="DO97" s="8"/>
      <c r="DP97" s="8"/>
      <c r="DQ97" s="8"/>
      <c r="DR97" s="8"/>
      <c r="DS97" s="8"/>
      <c r="DT97" s="8"/>
      <c r="DU97" s="8"/>
      <c r="DV97" s="8"/>
      <c r="DW97" s="8"/>
      <c r="DX97" s="8"/>
      <c r="DY97" s="8"/>
      <c r="DZ97" s="8"/>
      <c r="EA97" s="8"/>
      <c r="EB97" s="8"/>
    </row>
    <row r="98" spans="2:132" x14ac:dyDescent="0.35">
      <c r="B98" s="290"/>
      <c r="C98" s="290"/>
      <c r="D98" s="290"/>
      <c r="E98" s="290"/>
      <c r="F98" s="289"/>
      <c r="G98" s="289"/>
      <c r="H98" s="289"/>
      <c r="I98" s="8"/>
      <c r="J98" s="8"/>
      <c r="K98" s="8"/>
      <c r="L98" s="8"/>
      <c r="M98" s="8"/>
      <c r="N98" s="8"/>
      <c r="O98" s="8"/>
      <c r="P98" s="8"/>
      <c r="R98" s="8"/>
      <c r="S98" s="8"/>
      <c r="U98" s="8"/>
      <c r="V98" s="8"/>
      <c r="W98" s="8"/>
      <c r="X98" s="8"/>
      <c r="Y98" s="8"/>
      <c r="Z98" s="8"/>
      <c r="AA98" s="8"/>
      <c r="AB98" s="8"/>
      <c r="AC98" s="8"/>
      <c r="AD98" s="8"/>
      <c r="AE98" s="8"/>
      <c r="AF98" s="8"/>
      <c r="AG98" s="8"/>
      <c r="AH98" s="39"/>
      <c r="AI98" s="39"/>
      <c r="AJ98" s="8"/>
      <c r="AK98" s="8"/>
      <c r="AL98" s="8"/>
      <c r="AM98" s="8"/>
      <c r="AN98" s="8"/>
      <c r="AO98" s="8"/>
      <c r="AP98" s="8"/>
      <c r="AQ98" s="8"/>
      <c r="AR98" s="8"/>
      <c r="AS98" s="8"/>
      <c r="AT98" s="8"/>
      <c r="AU98" s="8"/>
      <c r="AV98" s="8"/>
      <c r="AW98" s="8"/>
      <c r="AX98" s="8"/>
      <c r="AY98" s="8"/>
      <c r="AZ98" s="8"/>
      <c r="BA98" s="8"/>
      <c r="BB98" s="8"/>
      <c r="BC98" s="8"/>
      <c r="BD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V98" s="8"/>
      <c r="CW98" s="8"/>
      <c r="CX98" s="8"/>
      <c r="CY98" s="8"/>
      <c r="CZ98" s="8"/>
      <c r="DA98" s="8"/>
      <c r="DB98" s="8"/>
      <c r="DC98" s="8"/>
      <c r="DD98" s="8"/>
      <c r="DE98" s="8"/>
      <c r="DF98" s="8"/>
      <c r="DG98" s="8"/>
      <c r="DH98" s="8"/>
      <c r="DI98" s="8"/>
      <c r="DL98" s="8"/>
      <c r="DM98" s="8"/>
      <c r="DN98" s="8"/>
      <c r="DO98" s="8"/>
      <c r="DP98" s="8"/>
      <c r="DQ98" s="8"/>
      <c r="DR98" s="8"/>
      <c r="DS98" s="8"/>
      <c r="DT98" s="8"/>
      <c r="DU98" s="8"/>
      <c r="DV98" s="8"/>
      <c r="DW98" s="8"/>
      <c r="DX98" s="8"/>
      <c r="DY98" s="8"/>
      <c r="DZ98" s="8"/>
      <c r="EA98" s="8"/>
      <c r="EB98" s="8"/>
    </row>
    <row r="99" spans="2:132" x14ac:dyDescent="0.35">
      <c r="B99" s="8"/>
      <c r="C99" s="8"/>
      <c r="D99" s="9"/>
      <c r="E99" s="16"/>
      <c r="F99" s="24"/>
      <c r="G99" s="8"/>
      <c r="H99" s="8"/>
      <c r="I99" s="8"/>
      <c r="J99" s="8"/>
      <c r="K99" s="8"/>
      <c r="L99" s="8"/>
      <c r="M99" s="8"/>
      <c r="N99" s="8"/>
      <c r="O99" s="8"/>
      <c r="P99" s="8"/>
      <c r="R99" s="8"/>
      <c r="S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V99" s="8"/>
      <c r="CW99" s="8"/>
      <c r="CX99" s="8"/>
      <c r="CY99" s="8"/>
      <c r="CZ99" s="8"/>
      <c r="DA99" s="8"/>
      <c r="DB99" s="8"/>
      <c r="DC99" s="8"/>
      <c r="DD99" s="8"/>
      <c r="DE99" s="8"/>
      <c r="DF99" s="8"/>
      <c r="DG99" s="8"/>
      <c r="DH99" s="8"/>
      <c r="DI99" s="8"/>
      <c r="DL99" s="8"/>
      <c r="DM99" s="8"/>
      <c r="DN99" s="8"/>
      <c r="DO99" s="8"/>
      <c r="DP99" s="8"/>
      <c r="DQ99" s="8"/>
      <c r="DR99" s="8"/>
      <c r="DS99" s="8"/>
      <c r="DT99" s="8"/>
      <c r="DU99" s="8"/>
      <c r="DV99" s="8"/>
      <c r="DW99" s="8"/>
      <c r="DX99" s="8"/>
      <c r="DY99" s="8"/>
      <c r="DZ99" s="8"/>
      <c r="EA99" s="8"/>
      <c r="EB99" s="8"/>
    </row>
    <row r="100" spans="2:132" x14ac:dyDescent="0.35">
      <c r="B100" s="8"/>
      <c r="C100" s="8"/>
      <c r="D100" s="9"/>
      <c r="E100" s="16"/>
      <c r="F100" s="24"/>
      <c r="G100" s="8"/>
      <c r="H100" s="8"/>
      <c r="I100" s="8"/>
      <c r="J100" s="8"/>
      <c r="K100" s="8"/>
      <c r="L100" s="8"/>
      <c r="M100" s="8"/>
      <c r="N100" s="8"/>
      <c r="O100" s="8"/>
      <c r="P100" s="8"/>
      <c r="R100" s="8"/>
      <c r="S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V100" s="8"/>
      <c r="CW100" s="8"/>
      <c r="CX100" s="8"/>
      <c r="CY100" s="8"/>
      <c r="CZ100" s="8"/>
      <c r="DA100" s="8"/>
      <c r="DB100" s="8"/>
      <c r="DC100" s="8"/>
      <c r="DD100" s="8"/>
      <c r="DE100" s="8"/>
      <c r="DF100" s="8"/>
      <c r="DG100" s="8"/>
      <c r="DH100" s="8"/>
      <c r="DI100" s="8"/>
      <c r="DL100" s="8"/>
      <c r="DM100" s="8"/>
      <c r="DN100" s="8"/>
      <c r="DO100" s="8"/>
      <c r="DP100" s="8"/>
      <c r="DQ100" s="8"/>
      <c r="DR100" s="8"/>
      <c r="DS100" s="8"/>
      <c r="DT100" s="8"/>
      <c r="DU100" s="8"/>
      <c r="DV100" s="8"/>
      <c r="DW100" s="8"/>
      <c r="DX100" s="8"/>
      <c r="DY100" s="8"/>
      <c r="DZ100" s="8"/>
      <c r="EA100" s="8"/>
      <c r="EB100" s="8"/>
    </row>
    <row r="101" spans="2:132" x14ac:dyDescent="0.35">
      <c r="B101" s="8"/>
      <c r="C101" s="8"/>
      <c r="D101" s="9"/>
      <c r="E101" s="16"/>
      <c r="F101" s="24"/>
      <c r="G101" s="8"/>
      <c r="H101" s="8"/>
      <c r="I101" s="8"/>
      <c r="J101" s="8"/>
      <c r="K101" s="8"/>
      <c r="L101" s="8"/>
      <c r="M101" s="8"/>
      <c r="N101" s="8"/>
      <c r="O101" s="8"/>
      <c r="P101" s="8"/>
      <c r="R101" s="8"/>
      <c r="S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V101" s="8"/>
      <c r="CW101" s="8"/>
      <c r="CX101" s="8"/>
      <c r="CY101" s="8"/>
      <c r="CZ101" s="8"/>
      <c r="DA101" s="8"/>
      <c r="DB101" s="8"/>
      <c r="DC101" s="8"/>
      <c r="DD101" s="8"/>
      <c r="DE101" s="8"/>
      <c r="DF101" s="8"/>
      <c r="DG101" s="8"/>
      <c r="DH101" s="8"/>
      <c r="DI101" s="8"/>
      <c r="DL101" s="8"/>
      <c r="DM101" s="8"/>
      <c r="DN101" s="8"/>
      <c r="DO101" s="8"/>
      <c r="DP101" s="8"/>
      <c r="DQ101" s="8"/>
      <c r="DR101" s="8"/>
      <c r="DS101" s="8"/>
      <c r="DT101" s="8"/>
      <c r="DU101" s="8"/>
      <c r="DV101" s="8"/>
      <c r="DW101" s="8"/>
      <c r="DX101" s="8"/>
      <c r="DY101" s="8"/>
      <c r="DZ101" s="8"/>
      <c r="EA101" s="8"/>
      <c r="EB101" s="8"/>
    </row>
    <row r="102" spans="2:132" x14ac:dyDescent="0.35">
      <c r="B102" s="8"/>
      <c r="C102" s="8"/>
      <c r="D102" s="9"/>
      <c r="E102" s="16"/>
      <c r="F102" s="24"/>
      <c r="G102" s="8"/>
      <c r="H102" s="8"/>
      <c r="I102" s="8"/>
      <c r="J102" s="8"/>
      <c r="K102" s="8"/>
      <c r="L102" s="8"/>
      <c r="M102" s="8"/>
      <c r="N102" s="8"/>
      <c r="O102" s="8"/>
      <c r="P102" s="8"/>
      <c r="R102" s="8"/>
      <c r="S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V102" s="8"/>
      <c r="CW102" s="8"/>
      <c r="CX102" s="8"/>
      <c r="CY102" s="8"/>
      <c r="CZ102" s="8"/>
      <c r="DA102" s="8"/>
      <c r="DB102" s="8"/>
      <c r="DC102" s="8"/>
      <c r="DD102" s="8"/>
      <c r="DE102" s="8"/>
      <c r="DF102" s="8"/>
      <c r="DG102" s="8"/>
      <c r="DH102" s="8"/>
      <c r="DI102" s="8"/>
      <c r="DL102" s="8"/>
      <c r="DM102" s="8"/>
      <c r="DN102" s="8"/>
      <c r="DO102" s="8"/>
      <c r="DP102" s="8"/>
      <c r="DQ102" s="8"/>
      <c r="DR102" s="8"/>
      <c r="DS102" s="8"/>
      <c r="DT102" s="8"/>
      <c r="DU102" s="8"/>
      <c r="DV102" s="8"/>
      <c r="DW102" s="8"/>
      <c r="DX102" s="8"/>
      <c r="DY102" s="8"/>
      <c r="DZ102" s="8"/>
      <c r="EA102" s="8"/>
      <c r="EB102" s="8"/>
    </row>
    <row r="103" spans="2:132" x14ac:dyDescent="0.35">
      <c r="B103" s="8"/>
      <c r="C103" s="8"/>
      <c r="D103" s="9"/>
      <c r="E103" s="16"/>
      <c r="F103" s="24"/>
      <c r="G103" s="8"/>
      <c r="H103" s="8"/>
      <c r="I103" s="8"/>
      <c r="J103" s="8"/>
      <c r="K103" s="8"/>
      <c r="L103" s="8"/>
      <c r="M103" s="8"/>
      <c r="N103" s="8"/>
      <c r="O103" s="8"/>
      <c r="P103" s="8"/>
      <c r="R103" s="8"/>
      <c r="S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V103" s="8"/>
      <c r="CW103" s="8"/>
      <c r="CX103" s="8"/>
      <c r="CY103" s="8"/>
      <c r="CZ103" s="8"/>
      <c r="DA103" s="8"/>
      <c r="DB103" s="8"/>
      <c r="DC103" s="8"/>
      <c r="DD103" s="8"/>
      <c r="DE103" s="8"/>
      <c r="DF103" s="8"/>
      <c r="DG103" s="8"/>
      <c r="DH103" s="8"/>
      <c r="DI103" s="8"/>
      <c r="DL103" s="8"/>
      <c r="DM103" s="8"/>
      <c r="DN103" s="8"/>
      <c r="DO103" s="8"/>
      <c r="DP103" s="8"/>
      <c r="DQ103" s="8"/>
      <c r="DR103" s="8"/>
      <c r="DS103" s="8"/>
      <c r="DT103" s="8"/>
      <c r="DU103" s="8"/>
      <c r="DV103" s="8"/>
      <c r="DW103" s="8"/>
      <c r="DX103" s="8"/>
      <c r="DY103" s="8"/>
      <c r="DZ103" s="8"/>
      <c r="EA103" s="8"/>
      <c r="EB103" s="8"/>
    </row>
    <row r="104" spans="2:132" x14ac:dyDescent="0.35">
      <c r="B104" s="8"/>
      <c r="C104" s="8"/>
      <c r="D104" s="9"/>
      <c r="E104" s="16"/>
      <c r="F104" s="24"/>
      <c r="G104" s="8"/>
      <c r="H104" s="8"/>
      <c r="I104" s="8"/>
      <c r="J104" s="8"/>
      <c r="K104" s="8"/>
      <c r="L104" s="8"/>
      <c r="M104" s="8"/>
      <c r="N104" s="8"/>
      <c r="O104" s="8"/>
      <c r="P104" s="8"/>
      <c r="R104" s="8"/>
      <c r="S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V104" s="8"/>
      <c r="CW104" s="8"/>
      <c r="CX104" s="8"/>
      <c r="CY104" s="8"/>
      <c r="CZ104" s="8"/>
      <c r="DA104" s="8"/>
      <c r="DB104" s="8"/>
      <c r="DC104" s="8"/>
      <c r="DD104" s="8"/>
      <c r="DE104" s="8"/>
      <c r="DF104" s="8"/>
      <c r="DG104" s="8"/>
      <c r="DH104" s="8"/>
      <c r="DI104" s="8"/>
      <c r="DL104" s="8"/>
      <c r="DM104" s="8"/>
      <c r="DN104" s="8"/>
      <c r="DO104" s="8"/>
      <c r="DP104" s="8"/>
      <c r="DQ104" s="8"/>
      <c r="DR104" s="8"/>
      <c r="DS104" s="8"/>
      <c r="DT104" s="8"/>
      <c r="DU104" s="8"/>
      <c r="DV104" s="8"/>
      <c r="DW104" s="8"/>
      <c r="DX104" s="8"/>
      <c r="DY104" s="8"/>
      <c r="DZ104" s="8"/>
      <c r="EA104" s="8"/>
      <c r="EB104" s="8"/>
    </row>
    <row r="105" spans="2:132" x14ac:dyDescent="0.35">
      <c r="B105" s="8"/>
      <c r="C105" s="8"/>
      <c r="D105" s="9"/>
      <c r="E105" s="16"/>
      <c r="F105" s="24"/>
      <c r="G105" s="8"/>
      <c r="H105" s="8"/>
      <c r="I105" s="8"/>
      <c r="J105" s="8"/>
      <c r="K105" s="8"/>
      <c r="L105" s="8"/>
      <c r="M105" s="8"/>
      <c r="N105" s="8"/>
      <c r="O105" s="8"/>
      <c r="P105" s="8"/>
      <c r="R105" s="8"/>
      <c r="S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V105" s="8"/>
      <c r="CW105" s="8"/>
      <c r="CX105" s="8"/>
      <c r="CY105" s="8"/>
      <c r="CZ105" s="8"/>
      <c r="DA105" s="8"/>
      <c r="DB105" s="8"/>
      <c r="DC105" s="8"/>
      <c r="DD105" s="8"/>
      <c r="DE105" s="8"/>
      <c r="DF105" s="8"/>
      <c r="DG105" s="8"/>
      <c r="DH105" s="8"/>
      <c r="DI105" s="8"/>
      <c r="DL105" s="8"/>
      <c r="DM105" s="8"/>
      <c r="DN105" s="8"/>
      <c r="DO105" s="8"/>
      <c r="DP105" s="8"/>
      <c r="DQ105" s="8"/>
      <c r="DR105" s="8"/>
      <c r="DS105" s="8"/>
      <c r="DT105" s="8"/>
      <c r="DU105" s="8"/>
      <c r="DV105" s="8"/>
      <c r="DW105" s="8"/>
      <c r="DX105" s="8"/>
      <c r="DY105" s="8"/>
      <c r="DZ105" s="8"/>
      <c r="EA105" s="8"/>
      <c r="EB105" s="8"/>
    </row>
    <row r="106" spans="2:132" x14ac:dyDescent="0.35">
      <c r="B106" s="8"/>
      <c r="C106" s="8"/>
      <c r="D106" s="9"/>
      <c r="E106" s="16"/>
      <c r="F106" s="24"/>
      <c r="G106" s="8"/>
      <c r="H106" s="8"/>
      <c r="I106" s="8"/>
      <c r="J106" s="8"/>
      <c r="K106" s="8"/>
      <c r="L106" s="8"/>
      <c r="M106" s="8"/>
      <c r="N106" s="8"/>
      <c r="O106" s="8"/>
      <c r="P106" s="8"/>
      <c r="R106" s="8"/>
      <c r="S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V106" s="8"/>
      <c r="CW106" s="8"/>
      <c r="CX106" s="8"/>
      <c r="CY106" s="8"/>
      <c r="CZ106" s="8"/>
      <c r="DA106" s="8"/>
      <c r="DB106" s="8"/>
      <c r="DC106" s="8"/>
      <c r="DD106" s="8"/>
      <c r="DE106" s="8"/>
      <c r="DF106" s="8"/>
      <c r="DG106" s="8"/>
      <c r="DH106" s="8"/>
      <c r="DI106" s="8"/>
      <c r="DL106" s="8"/>
      <c r="DM106" s="8"/>
      <c r="DN106" s="8"/>
      <c r="DO106" s="8"/>
      <c r="DP106" s="8"/>
      <c r="DQ106" s="8"/>
      <c r="DR106" s="8"/>
      <c r="DS106" s="8"/>
      <c r="DT106" s="8"/>
      <c r="DU106" s="8"/>
      <c r="DV106" s="8"/>
      <c r="DW106" s="8"/>
      <c r="DX106" s="8"/>
      <c r="DY106" s="8"/>
      <c r="DZ106" s="8"/>
      <c r="EA106" s="8"/>
      <c r="EB106" s="8"/>
    </row>
    <row r="107" spans="2:132" x14ac:dyDescent="0.35">
      <c r="B107" s="8"/>
      <c r="C107" s="8"/>
      <c r="D107" s="9"/>
      <c r="E107" s="16"/>
      <c r="F107" s="24"/>
      <c r="G107" s="8"/>
      <c r="H107" s="8"/>
      <c r="I107" s="8"/>
      <c r="J107" s="8"/>
      <c r="K107" s="8"/>
      <c r="L107" s="8"/>
      <c r="M107" s="8"/>
      <c r="N107" s="8"/>
      <c r="O107" s="8"/>
      <c r="P107" s="8"/>
      <c r="R107" s="8"/>
      <c r="S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V107" s="8"/>
      <c r="CW107" s="8"/>
      <c r="CX107" s="8"/>
      <c r="CY107" s="8"/>
      <c r="CZ107" s="8"/>
      <c r="DA107" s="8"/>
      <c r="DB107" s="8"/>
      <c r="DC107" s="8"/>
      <c r="DD107" s="8"/>
      <c r="DE107" s="8"/>
      <c r="DF107" s="8"/>
      <c r="DG107" s="8"/>
      <c r="DH107" s="8"/>
      <c r="DI107" s="8"/>
      <c r="DL107" s="8"/>
      <c r="DM107" s="8"/>
      <c r="DN107" s="8"/>
      <c r="DO107" s="8"/>
      <c r="DP107" s="8"/>
      <c r="DQ107" s="8"/>
      <c r="DR107" s="8"/>
      <c r="DS107" s="8"/>
      <c r="DT107" s="8"/>
      <c r="DU107" s="8"/>
      <c r="DV107" s="8"/>
      <c r="DW107" s="8"/>
      <c r="DX107" s="8"/>
      <c r="DY107" s="8"/>
      <c r="DZ107" s="8"/>
      <c r="EA107" s="8"/>
      <c r="EB107" s="8"/>
    </row>
    <row r="108" spans="2:132" x14ac:dyDescent="0.35">
      <c r="B108" s="8"/>
      <c r="C108" s="8"/>
      <c r="D108" s="9"/>
      <c r="E108" s="16"/>
      <c r="F108" s="24"/>
      <c r="G108" s="8"/>
      <c r="H108" s="8"/>
      <c r="I108" s="8"/>
      <c r="J108" s="8"/>
      <c r="K108" s="8"/>
      <c r="L108" s="8"/>
      <c r="M108" s="8"/>
      <c r="N108" s="8"/>
      <c r="O108" s="8"/>
      <c r="P108" s="8"/>
      <c r="R108" s="8"/>
      <c r="S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V108" s="8"/>
      <c r="CW108" s="8"/>
      <c r="CX108" s="8"/>
      <c r="CY108" s="8"/>
      <c r="CZ108" s="8"/>
      <c r="DA108" s="8"/>
      <c r="DB108" s="8"/>
      <c r="DC108" s="8"/>
      <c r="DD108" s="8"/>
      <c r="DE108" s="8"/>
      <c r="DF108" s="8"/>
      <c r="DG108" s="8"/>
      <c r="DH108" s="8"/>
      <c r="DI108" s="8"/>
      <c r="DL108" s="8"/>
      <c r="DM108" s="8"/>
      <c r="DN108" s="8"/>
      <c r="DO108" s="8"/>
      <c r="DP108" s="8"/>
      <c r="DQ108" s="8"/>
      <c r="DR108" s="8"/>
      <c r="DS108" s="8"/>
      <c r="DT108" s="8"/>
      <c r="DU108" s="8"/>
      <c r="DV108" s="8"/>
      <c r="DW108" s="8"/>
      <c r="DX108" s="8"/>
      <c r="DY108" s="8"/>
      <c r="DZ108" s="8"/>
      <c r="EA108" s="8"/>
      <c r="EB108" s="8"/>
    </row>
    <row r="109" spans="2:132" x14ac:dyDescent="0.35">
      <c r="B109" s="8"/>
      <c r="C109" s="8"/>
      <c r="D109" s="9"/>
      <c r="E109" s="16"/>
      <c r="F109" s="24"/>
      <c r="G109" s="8"/>
      <c r="H109" s="8"/>
      <c r="I109" s="8"/>
      <c r="J109" s="8"/>
      <c r="K109" s="8"/>
      <c r="L109" s="8"/>
      <c r="M109" s="8"/>
      <c r="N109" s="8"/>
      <c r="O109" s="8"/>
      <c r="P109" s="8"/>
      <c r="R109" s="8"/>
      <c r="S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V109" s="8"/>
      <c r="CW109" s="8"/>
      <c r="CX109" s="8"/>
      <c r="CY109" s="8"/>
      <c r="CZ109" s="8"/>
      <c r="DA109" s="8"/>
      <c r="DB109" s="8"/>
      <c r="DC109" s="8"/>
      <c r="DD109" s="8"/>
      <c r="DE109" s="8"/>
      <c r="DF109" s="8"/>
      <c r="DG109" s="8"/>
      <c r="DH109" s="8"/>
      <c r="DI109" s="8"/>
      <c r="DL109" s="8"/>
      <c r="DM109" s="8"/>
      <c r="DN109" s="8"/>
      <c r="DO109" s="8"/>
      <c r="DP109" s="8"/>
      <c r="DQ109" s="8"/>
      <c r="DR109" s="8"/>
      <c r="DS109" s="8"/>
      <c r="DT109" s="8"/>
      <c r="DU109" s="8"/>
      <c r="DV109" s="8"/>
      <c r="DW109" s="8"/>
      <c r="DX109" s="8"/>
      <c r="DY109" s="8"/>
      <c r="DZ109" s="8"/>
      <c r="EA109" s="8"/>
      <c r="EB109" s="8"/>
    </row>
    <row r="110" spans="2:132" x14ac:dyDescent="0.35">
      <c r="B110" s="8"/>
      <c r="C110" s="8"/>
      <c r="D110" s="9"/>
      <c r="E110" s="16"/>
      <c r="F110" s="24"/>
      <c r="G110" s="8"/>
      <c r="H110" s="8"/>
      <c r="I110" s="8"/>
      <c r="J110" s="8"/>
      <c r="K110" s="8"/>
      <c r="L110" s="8"/>
      <c r="M110" s="8"/>
      <c r="N110" s="8"/>
      <c r="O110" s="8"/>
      <c r="P110" s="8"/>
      <c r="R110" s="8"/>
      <c r="S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V110" s="8"/>
      <c r="CW110" s="8"/>
      <c r="CX110" s="8"/>
      <c r="CY110" s="8"/>
      <c r="CZ110" s="8"/>
      <c r="DA110" s="8"/>
      <c r="DB110" s="8"/>
      <c r="DC110" s="8"/>
      <c r="DD110" s="8"/>
      <c r="DE110" s="8"/>
      <c r="DF110" s="8"/>
      <c r="DG110" s="8"/>
      <c r="DH110" s="8"/>
      <c r="DI110" s="8"/>
      <c r="DL110" s="8"/>
      <c r="DM110" s="8"/>
      <c r="DN110" s="8"/>
      <c r="DO110" s="8"/>
      <c r="DP110" s="8"/>
      <c r="DQ110" s="8"/>
      <c r="DR110" s="8"/>
      <c r="DS110" s="8"/>
      <c r="DT110" s="8"/>
      <c r="DU110" s="8"/>
      <c r="DV110" s="8"/>
      <c r="DW110" s="8"/>
      <c r="DX110" s="8"/>
      <c r="DY110" s="8"/>
      <c r="DZ110" s="8"/>
      <c r="EA110" s="8"/>
      <c r="EB110" s="8"/>
    </row>
    <row r="111" spans="2:132" x14ac:dyDescent="0.35">
      <c r="B111" s="8"/>
      <c r="C111" s="8"/>
      <c r="D111" s="9"/>
      <c r="E111" s="16"/>
      <c r="F111" s="24"/>
      <c r="G111" s="8"/>
      <c r="H111" s="8"/>
      <c r="I111" s="8"/>
      <c r="J111" s="8"/>
      <c r="K111" s="8"/>
      <c r="L111" s="8"/>
      <c r="M111" s="8"/>
      <c r="N111" s="8"/>
      <c r="O111" s="8"/>
      <c r="P111" s="8"/>
      <c r="R111" s="8"/>
      <c r="S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V111" s="8"/>
      <c r="CW111" s="8"/>
      <c r="CX111" s="8"/>
      <c r="CY111" s="8"/>
      <c r="CZ111" s="8"/>
      <c r="DA111" s="8"/>
      <c r="DB111" s="8"/>
      <c r="DC111" s="8"/>
      <c r="DD111" s="8"/>
      <c r="DE111" s="8"/>
      <c r="DF111" s="8"/>
      <c r="DG111" s="8"/>
      <c r="DH111" s="8"/>
      <c r="DI111" s="8"/>
      <c r="DL111" s="8"/>
      <c r="DM111" s="8"/>
      <c r="DN111" s="8"/>
      <c r="DO111" s="8"/>
      <c r="DP111" s="8"/>
      <c r="DQ111" s="8"/>
      <c r="DR111" s="8"/>
      <c r="DS111" s="8"/>
      <c r="DT111" s="8"/>
      <c r="DU111" s="8"/>
      <c r="DV111" s="8"/>
      <c r="DW111" s="8"/>
      <c r="DX111" s="8"/>
      <c r="DY111" s="8"/>
      <c r="DZ111" s="8"/>
      <c r="EA111" s="8"/>
      <c r="EB111" s="8"/>
    </row>
    <row r="112" spans="2:132" x14ac:dyDescent="0.35">
      <c r="B112" s="8"/>
      <c r="C112" s="8"/>
      <c r="D112" s="9"/>
      <c r="E112" s="16"/>
      <c r="F112" s="24"/>
      <c r="G112" s="8"/>
      <c r="H112" s="8"/>
      <c r="I112" s="8"/>
      <c r="J112" s="8"/>
      <c r="K112" s="8"/>
      <c r="L112" s="8"/>
      <c r="M112" s="8"/>
      <c r="N112" s="8"/>
      <c r="O112" s="8"/>
      <c r="P112" s="8"/>
      <c r="R112" s="8"/>
      <c r="S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V112" s="8"/>
      <c r="CW112" s="8"/>
      <c r="CX112" s="8"/>
      <c r="CY112" s="8"/>
      <c r="CZ112" s="8"/>
      <c r="DA112" s="8"/>
      <c r="DB112" s="8"/>
      <c r="DC112" s="8"/>
      <c r="DD112" s="8"/>
      <c r="DE112" s="8"/>
      <c r="DF112" s="8"/>
      <c r="DG112" s="8"/>
      <c r="DH112" s="8"/>
      <c r="DI112" s="8"/>
      <c r="DL112" s="8"/>
      <c r="DM112" s="8"/>
      <c r="DN112" s="8"/>
      <c r="DO112" s="8"/>
      <c r="DP112" s="8"/>
      <c r="DQ112" s="8"/>
      <c r="DR112" s="8"/>
      <c r="DS112" s="8"/>
      <c r="DT112" s="8"/>
      <c r="DU112" s="8"/>
      <c r="DV112" s="8"/>
      <c r="DW112" s="8"/>
      <c r="DX112" s="8"/>
      <c r="DY112" s="8"/>
      <c r="DZ112" s="8"/>
      <c r="EA112" s="8"/>
      <c r="EB112" s="8"/>
    </row>
    <row r="113" spans="2:132" x14ac:dyDescent="0.35">
      <c r="B113" s="16"/>
      <c r="C113" s="16"/>
      <c r="D113" s="9"/>
      <c r="E113" s="16"/>
      <c r="F113" s="24"/>
      <c r="G113" s="8"/>
      <c r="H113" s="8"/>
      <c r="I113" s="8"/>
      <c r="J113" s="8"/>
      <c r="K113" s="8"/>
      <c r="L113" s="8"/>
      <c r="M113" s="8"/>
      <c r="N113" s="8"/>
      <c r="O113" s="8"/>
      <c r="P113" s="8"/>
      <c r="R113" s="8"/>
      <c r="S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V113" s="8"/>
      <c r="CW113" s="8"/>
      <c r="CX113" s="8"/>
      <c r="CY113" s="8"/>
      <c r="CZ113" s="8"/>
      <c r="DA113" s="8"/>
      <c r="DB113" s="8"/>
      <c r="DC113" s="8"/>
      <c r="DD113" s="8"/>
      <c r="DE113" s="8"/>
      <c r="DF113" s="8"/>
      <c r="DG113" s="8"/>
      <c r="DH113" s="8"/>
      <c r="DI113" s="8"/>
      <c r="DL113" s="8"/>
      <c r="DM113" s="8"/>
      <c r="DN113" s="8"/>
      <c r="DO113" s="8"/>
      <c r="DP113" s="8"/>
      <c r="DQ113" s="8"/>
      <c r="DR113" s="8"/>
      <c r="DS113" s="8"/>
      <c r="DT113" s="8"/>
      <c r="DU113" s="8"/>
      <c r="DV113" s="8"/>
      <c r="DW113" s="8"/>
      <c r="DX113" s="8"/>
      <c r="DY113" s="8"/>
      <c r="DZ113" s="8"/>
      <c r="EA113" s="8"/>
      <c r="EB113" s="8"/>
    </row>
    <row r="114" spans="2:132" x14ac:dyDescent="0.35">
      <c r="B114" s="16"/>
      <c r="C114" s="16"/>
      <c r="D114" s="9"/>
      <c r="E114" s="16"/>
      <c r="F114" s="24"/>
      <c r="G114" s="8"/>
      <c r="H114" s="8"/>
      <c r="I114" s="8"/>
      <c r="J114" s="8"/>
      <c r="K114" s="8"/>
      <c r="L114" s="8"/>
      <c r="M114" s="8"/>
      <c r="N114" s="8"/>
      <c r="O114" s="8"/>
      <c r="P114" s="8"/>
      <c r="R114" s="8"/>
      <c r="S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V114" s="8"/>
      <c r="CW114" s="8"/>
      <c r="CX114" s="8"/>
      <c r="CY114" s="8"/>
      <c r="CZ114" s="8"/>
      <c r="DA114" s="8"/>
      <c r="DB114" s="8"/>
      <c r="DC114" s="8"/>
      <c r="DD114" s="8"/>
      <c r="DE114" s="8"/>
      <c r="DF114" s="8"/>
      <c r="DG114" s="8"/>
      <c r="DH114" s="8"/>
      <c r="DI114" s="8"/>
      <c r="DL114" s="8"/>
      <c r="DM114" s="8"/>
      <c r="DN114" s="8"/>
      <c r="DO114" s="8"/>
      <c r="DP114" s="8"/>
      <c r="DQ114" s="8"/>
      <c r="DR114" s="8"/>
      <c r="DS114" s="8"/>
      <c r="DT114" s="8"/>
      <c r="DU114" s="8"/>
      <c r="DV114" s="8"/>
      <c r="DW114" s="8"/>
      <c r="DX114" s="8"/>
      <c r="DY114" s="8"/>
      <c r="DZ114" s="8"/>
      <c r="EA114" s="8"/>
      <c r="EB114" s="8"/>
    </row>
    <row r="115" spans="2:132" x14ac:dyDescent="0.35">
      <c r="B115" s="16"/>
      <c r="C115" s="16"/>
      <c r="D115" s="9"/>
      <c r="E115" s="16"/>
      <c r="F115" s="24"/>
      <c r="G115" s="8"/>
      <c r="H115" s="8"/>
      <c r="I115" s="8"/>
      <c r="J115" s="8"/>
      <c r="K115" s="8"/>
      <c r="L115" s="8"/>
      <c r="M115" s="8"/>
      <c r="N115" s="8"/>
      <c r="O115" s="8"/>
      <c r="P115" s="8"/>
      <c r="R115" s="8"/>
      <c r="S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V115" s="8"/>
      <c r="CW115" s="8"/>
      <c r="CX115" s="8"/>
      <c r="CY115" s="8"/>
      <c r="CZ115" s="8"/>
      <c r="DA115" s="8"/>
      <c r="DB115" s="8"/>
      <c r="DC115" s="8"/>
      <c r="DD115" s="8"/>
      <c r="DE115" s="8"/>
      <c r="DF115" s="8"/>
      <c r="DG115" s="8"/>
      <c r="DH115" s="8"/>
      <c r="DI115" s="8"/>
      <c r="DL115" s="8"/>
      <c r="DM115" s="8"/>
      <c r="DN115" s="8"/>
      <c r="DO115" s="8"/>
      <c r="DP115" s="8"/>
      <c r="DQ115" s="8"/>
      <c r="DR115" s="8"/>
      <c r="DS115" s="8"/>
      <c r="DT115" s="8"/>
      <c r="DU115" s="8"/>
      <c r="DV115" s="8"/>
      <c r="DW115" s="8"/>
      <c r="DX115" s="8"/>
      <c r="DY115" s="8"/>
      <c r="DZ115" s="8"/>
      <c r="EA115" s="8"/>
      <c r="EB115" s="8"/>
    </row>
    <row r="116" spans="2:132" x14ac:dyDescent="0.35">
      <c r="B116" s="16"/>
      <c r="C116" s="16"/>
      <c r="D116" s="9"/>
      <c r="E116" s="16"/>
      <c r="F116" s="24"/>
      <c r="G116" s="8"/>
      <c r="H116" s="8"/>
      <c r="I116" s="8"/>
      <c r="J116" s="8"/>
      <c r="K116" s="8"/>
      <c r="L116" s="8"/>
      <c r="M116" s="8"/>
      <c r="N116" s="8"/>
      <c r="O116" s="8"/>
      <c r="P116" s="8"/>
      <c r="R116" s="8"/>
      <c r="S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V116" s="8"/>
      <c r="CW116" s="8"/>
      <c r="CX116" s="8"/>
      <c r="CY116" s="8"/>
      <c r="CZ116" s="8"/>
      <c r="DA116" s="8"/>
      <c r="DB116" s="8"/>
      <c r="DC116" s="8"/>
      <c r="DD116" s="8"/>
      <c r="DE116" s="8"/>
      <c r="DF116" s="8"/>
      <c r="DG116" s="8"/>
      <c r="DH116" s="8"/>
      <c r="DI116" s="8"/>
      <c r="DL116" s="8"/>
      <c r="DM116" s="8"/>
      <c r="DN116" s="8"/>
      <c r="DO116" s="8"/>
      <c r="DP116" s="8"/>
      <c r="DQ116" s="8"/>
      <c r="DR116" s="8"/>
      <c r="DS116" s="8"/>
      <c r="DT116" s="8"/>
      <c r="DU116" s="8"/>
      <c r="DV116" s="8"/>
      <c r="DW116" s="8"/>
      <c r="DX116" s="8"/>
      <c r="DY116" s="8"/>
      <c r="DZ116" s="8"/>
      <c r="EA116" s="8"/>
      <c r="EB116" s="8"/>
    </row>
    <row r="117" spans="2:132" x14ac:dyDescent="0.35">
      <c r="B117" s="16"/>
      <c r="C117" s="16"/>
      <c r="D117" s="9"/>
      <c r="E117" s="16"/>
      <c r="F117" s="24"/>
      <c r="G117" s="8"/>
      <c r="H117" s="8"/>
      <c r="I117" s="8"/>
      <c r="J117" s="8"/>
      <c r="K117" s="8"/>
      <c r="L117" s="8"/>
      <c r="M117" s="8"/>
      <c r="N117" s="8"/>
      <c r="O117" s="8"/>
      <c r="P117" s="8"/>
      <c r="R117" s="8"/>
      <c r="S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V117" s="8"/>
      <c r="CW117" s="8"/>
      <c r="CX117" s="8"/>
      <c r="CY117" s="8"/>
      <c r="CZ117" s="8"/>
      <c r="DA117" s="8"/>
      <c r="DB117" s="8"/>
      <c r="DC117" s="8"/>
      <c r="DD117" s="8"/>
      <c r="DE117" s="8"/>
      <c r="DF117" s="8"/>
      <c r="DG117" s="8"/>
      <c r="DH117" s="8"/>
      <c r="DI117" s="8"/>
      <c r="DL117" s="8"/>
      <c r="DM117" s="8"/>
      <c r="DN117" s="8"/>
      <c r="DO117" s="8"/>
      <c r="DP117" s="8"/>
      <c r="DQ117" s="8"/>
      <c r="DR117" s="8"/>
      <c r="DS117" s="8"/>
      <c r="DT117" s="8"/>
      <c r="DU117" s="8"/>
      <c r="DV117" s="8"/>
      <c r="DW117" s="8"/>
      <c r="DX117" s="8"/>
      <c r="DY117" s="8"/>
      <c r="DZ117" s="8"/>
      <c r="EA117" s="8"/>
      <c r="EB117" s="8"/>
    </row>
    <row r="118" spans="2:132" x14ac:dyDescent="0.35">
      <c r="B118" s="16"/>
      <c r="C118" s="16"/>
      <c r="D118" s="9"/>
      <c r="E118" s="16"/>
      <c r="F118" s="24"/>
      <c r="G118" s="8"/>
      <c r="H118" s="8"/>
      <c r="I118" s="8"/>
      <c r="J118" s="8"/>
      <c r="K118" s="8"/>
      <c r="L118" s="8"/>
      <c r="M118" s="8"/>
      <c r="N118" s="8"/>
      <c r="O118" s="8"/>
      <c r="P118" s="8"/>
      <c r="R118" s="8"/>
      <c r="S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V118" s="8"/>
      <c r="CW118" s="8"/>
      <c r="CX118" s="8"/>
      <c r="CY118" s="8"/>
      <c r="CZ118" s="8"/>
      <c r="DA118" s="8"/>
      <c r="DB118" s="8"/>
      <c r="DC118" s="8"/>
      <c r="DD118" s="8"/>
      <c r="DE118" s="8"/>
      <c r="DF118" s="8"/>
      <c r="DG118" s="8"/>
      <c r="DH118" s="8"/>
      <c r="DI118" s="8"/>
      <c r="DL118" s="8"/>
      <c r="DM118" s="8"/>
      <c r="DN118" s="8"/>
      <c r="DO118" s="8"/>
      <c r="DP118" s="8"/>
      <c r="DQ118" s="8"/>
      <c r="DR118" s="8"/>
      <c r="DS118" s="8"/>
      <c r="DT118" s="8"/>
      <c r="DU118" s="8"/>
      <c r="DV118" s="8"/>
      <c r="DW118" s="8"/>
      <c r="DX118" s="8"/>
      <c r="DY118" s="8"/>
      <c r="DZ118" s="8"/>
      <c r="EA118" s="8"/>
      <c r="EB118" s="8"/>
    </row>
    <row r="119" spans="2:132" x14ac:dyDescent="0.35">
      <c r="B119" s="16"/>
      <c r="C119" s="16"/>
      <c r="D119" s="9"/>
      <c r="E119" s="16"/>
      <c r="F119" s="24"/>
      <c r="G119" s="8"/>
      <c r="H119" s="8"/>
      <c r="I119" s="8"/>
      <c r="J119" s="8"/>
      <c r="K119" s="8"/>
      <c r="L119" s="8"/>
      <c r="M119" s="8"/>
      <c r="N119" s="8"/>
      <c r="O119" s="8"/>
      <c r="P119" s="8"/>
      <c r="R119" s="8"/>
      <c r="S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V119" s="8"/>
      <c r="CW119" s="8"/>
      <c r="CX119" s="8"/>
      <c r="CY119" s="8"/>
      <c r="CZ119" s="8"/>
      <c r="DA119" s="8"/>
      <c r="DB119" s="8"/>
      <c r="DC119" s="8"/>
      <c r="DD119" s="8"/>
      <c r="DE119" s="8"/>
      <c r="DF119" s="8"/>
      <c r="DG119" s="8"/>
      <c r="DH119" s="8"/>
      <c r="DI119" s="8"/>
      <c r="DL119" s="8"/>
      <c r="DM119" s="8"/>
      <c r="DN119" s="8"/>
      <c r="DO119" s="8"/>
      <c r="DP119" s="8"/>
      <c r="DQ119" s="8"/>
      <c r="DR119" s="8"/>
      <c r="DS119" s="8"/>
      <c r="DT119" s="8"/>
      <c r="DU119" s="8"/>
      <c r="DV119" s="8"/>
      <c r="DW119" s="8"/>
      <c r="DX119" s="8"/>
      <c r="DY119" s="8"/>
      <c r="DZ119" s="8"/>
      <c r="EA119" s="8"/>
      <c r="EB119" s="8"/>
    </row>
    <row r="120" spans="2:132" x14ac:dyDescent="0.35">
      <c r="B120" s="16"/>
      <c r="C120" s="16"/>
      <c r="D120" s="9"/>
      <c r="E120" s="16"/>
      <c r="F120" s="24"/>
      <c r="G120" s="8"/>
      <c r="H120" s="8"/>
      <c r="I120" s="8"/>
      <c r="J120" s="8"/>
      <c r="K120" s="8"/>
      <c r="L120" s="8"/>
      <c r="M120" s="8"/>
      <c r="N120" s="8"/>
      <c r="O120" s="8"/>
      <c r="P120" s="8"/>
      <c r="R120" s="8"/>
      <c r="S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V120" s="8"/>
      <c r="CW120" s="8"/>
      <c r="CX120" s="8"/>
      <c r="CY120" s="8"/>
      <c r="CZ120" s="8"/>
      <c r="DA120" s="8"/>
      <c r="DB120" s="8"/>
      <c r="DC120" s="8"/>
      <c r="DD120" s="8"/>
      <c r="DE120" s="8"/>
      <c r="DF120" s="8"/>
      <c r="DG120" s="8"/>
      <c r="DH120" s="8"/>
      <c r="DI120" s="8"/>
      <c r="DL120" s="8"/>
      <c r="DM120" s="8"/>
      <c r="DN120" s="8"/>
      <c r="DO120" s="8"/>
      <c r="DP120" s="8"/>
      <c r="DQ120" s="8"/>
      <c r="DR120" s="8"/>
      <c r="DS120" s="8"/>
      <c r="DT120" s="8"/>
      <c r="DU120" s="8"/>
      <c r="DV120" s="8"/>
      <c r="DW120" s="8"/>
      <c r="DX120" s="8"/>
      <c r="DY120" s="8"/>
      <c r="DZ120" s="8"/>
      <c r="EA120" s="8"/>
      <c r="EB120" s="8"/>
    </row>
    <row r="121" spans="2:132" x14ac:dyDescent="0.35">
      <c r="B121" s="16"/>
      <c r="C121" s="16"/>
      <c r="D121" s="9"/>
      <c r="E121" s="16"/>
      <c r="F121" s="24"/>
      <c r="G121" s="8"/>
      <c r="H121" s="8"/>
      <c r="I121" s="8"/>
      <c r="J121" s="8"/>
      <c r="K121" s="8"/>
      <c r="L121" s="8"/>
      <c r="M121" s="8"/>
      <c r="N121" s="8"/>
      <c r="O121" s="8"/>
      <c r="P121" s="8"/>
      <c r="R121" s="8"/>
      <c r="S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V121" s="8"/>
      <c r="CW121" s="8"/>
      <c r="CX121" s="8"/>
      <c r="CY121" s="8"/>
      <c r="CZ121" s="8"/>
      <c r="DA121" s="8"/>
      <c r="DB121" s="8"/>
      <c r="DC121" s="8"/>
      <c r="DD121" s="8"/>
      <c r="DE121" s="8"/>
      <c r="DF121" s="8"/>
      <c r="DG121" s="8"/>
      <c r="DH121" s="8"/>
      <c r="DI121" s="8"/>
      <c r="DL121" s="8"/>
      <c r="DM121" s="8"/>
      <c r="DN121" s="8"/>
      <c r="DO121" s="8"/>
      <c r="DP121" s="8"/>
      <c r="DQ121" s="8"/>
      <c r="DR121" s="8"/>
      <c r="DS121" s="8"/>
      <c r="DT121" s="8"/>
      <c r="DU121" s="8"/>
      <c r="DV121" s="8"/>
      <c r="DW121" s="8"/>
      <c r="DX121" s="8"/>
      <c r="DY121" s="8"/>
      <c r="DZ121" s="8"/>
      <c r="EA121" s="8"/>
      <c r="EB121" s="8"/>
    </row>
    <row r="122" spans="2:132" x14ac:dyDescent="0.35">
      <c r="B122" s="16"/>
      <c r="C122" s="16"/>
      <c r="D122" s="9"/>
      <c r="E122" s="16"/>
      <c r="F122" s="24"/>
      <c r="G122" s="8"/>
      <c r="H122" s="8"/>
      <c r="I122" s="8"/>
      <c r="J122" s="8"/>
      <c r="K122" s="8"/>
      <c r="L122" s="8"/>
      <c r="M122" s="8"/>
      <c r="N122" s="8"/>
      <c r="O122" s="8"/>
      <c r="P122" s="8"/>
      <c r="R122" s="8"/>
      <c r="S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V122" s="8"/>
      <c r="CW122" s="8"/>
      <c r="CX122" s="8"/>
      <c r="CY122" s="8"/>
      <c r="CZ122" s="8"/>
      <c r="DA122" s="8"/>
      <c r="DB122" s="8"/>
      <c r="DC122" s="8"/>
      <c r="DD122" s="8"/>
      <c r="DE122" s="8"/>
      <c r="DF122" s="8"/>
      <c r="DG122" s="8"/>
      <c r="DH122" s="8"/>
      <c r="DI122" s="8"/>
      <c r="DL122" s="8"/>
      <c r="DM122" s="8"/>
      <c r="DN122" s="8"/>
      <c r="DO122" s="8"/>
      <c r="DP122" s="8"/>
      <c r="DQ122" s="8"/>
      <c r="DR122" s="8"/>
      <c r="DS122" s="8"/>
      <c r="DT122" s="8"/>
      <c r="DU122" s="8"/>
      <c r="DV122" s="8"/>
      <c r="DW122" s="8"/>
      <c r="DX122" s="8"/>
      <c r="DY122" s="8"/>
      <c r="DZ122" s="8"/>
      <c r="EA122" s="8"/>
      <c r="EB122" s="8"/>
    </row>
    <row r="123" spans="2:132" x14ac:dyDescent="0.35">
      <c r="B123" s="16"/>
      <c r="C123" s="16"/>
      <c r="D123" s="9"/>
      <c r="E123" s="16"/>
      <c r="F123" s="24"/>
      <c r="G123" s="8"/>
      <c r="H123" s="8"/>
      <c r="I123" s="8"/>
      <c r="J123" s="8"/>
      <c r="K123" s="8"/>
      <c r="L123" s="8"/>
      <c r="M123" s="8"/>
      <c r="N123" s="8"/>
      <c r="O123" s="8"/>
      <c r="P123" s="8"/>
      <c r="R123" s="8"/>
      <c r="S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V123" s="8"/>
      <c r="CW123" s="8"/>
      <c r="CX123" s="8"/>
      <c r="CY123" s="8"/>
      <c r="CZ123" s="8"/>
      <c r="DA123" s="8"/>
      <c r="DB123" s="8"/>
      <c r="DC123" s="8"/>
      <c r="DD123" s="8"/>
      <c r="DE123" s="8"/>
      <c r="DF123" s="8"/>
      <c r="DG123" s="8"/>
      <c r="DH123" s="8"/>
      <c r="DI123" s="8"/>
      <c r="DL123" s="8"/>
      <c r="DM123" s="8"/>
      <c r="DN123" s="8"/>
      <c r="DO123" s="8"/>
      <c r="DP123" s="8"/>
      <c r="DQ123" s="8"/>
      <c r="DR123" s="8"/>
      <c r="DS123" s="8"/>
      <c r="DT123" s="8"/>
      <c r="DU123" s="8"/>
      <c r="DV123" s="8"/>
      <c r="DW123" s="8"/>
      <c r="DX123" s="8"/>
      <c r="DY123" s="8"/>
      <c r="DZ123" s="8"/>
      <c r="EA123" s="8"/>
      <c r="EB123" s="8"/>
    </row>
    <row r="124" spans="2:132" x14ac:dyDescent="0.35">
      <c r="B124" s="8"/>
      <c r="C124" s="8"/>
      <c r="D124" s="24"/>
      <c r="E124" s="8"/>
      <c r="F124" s="24"/>
      <c r="G124" s="8"/>
      <c r="H124" s="8"/>
      <c r="I124" s="8"/>
      <c r="J124" s="8"/>
      <c r="K124" s="8"/>
      <c r="L124" s="8"/>
      <c r="M124" s="8"/>
      <c r="N124" s="8"/>
      <c r="O124" s="8"/>
      <c r="P124" s="8"/>
      <c r="R124" s="8"/>
      <c r="S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V124" s="8"/>
      <c r="CW124" s="8"/>
      <c r="CX124" s="8"/>
      <c r="CY124" s="8"/>
      <c r="CZ124" s="8"/>
      <c r="DA124" s="8"/>
      <c r="DB124" s="8"/>
      <c r="DC124" s="8"/>
      <c r="DD124" s="8"/>
      <c r="DE124" s="8"/>
      <c r="DF124" s="8"/>
      <c r="DG124" s="8"/>
      <c r="DH124" s="8"/>
      <c r="DI124" s="8"/>
      <c r="DL124" s="8"/>
      <c r="DM124" s="8"/>
      <c r="DN124" s="8"/>
      <c r="DO124" s="8"/>
      <c r="DP124" s="8"/>
      <c r="DQ124" s="8"/>
      <c r="DR124" s="8"/>
      <c r="DS124" s="8"/>
      <c r="DT124" s="8"/>
      <c r="DU124" s="8"/>
      <c r="DV124" s="8"/>
      <c r="DW124" s="8"/>
      <c r="DX124" s="8"/>
      <c r="DY124" s="8"/>
      <c r="DZ124" s="8"/>
      <c r="EA124" s="8"/>
      <c r="EB124" s="8"/>
    </row>
    <row r="125" spans="2:132" x14ac:dyDescent="0.35">
      <c r="B125" s="27"/>
      <c r="C125" s="27"/>
      <c r="D125" s="9"/>
      <c r="E125" s="16"/>
      <c r="F125" s="24"/>
      <c r="G125" s="8"/>
      <c r="H125" s="8"/>
      <c r="I125" s="8"/>
      <c r="J125" s="8"/>
      <c r="K125" s="8"/>
      <c r="L125" s="8"/>
      <c r="M125" s="8"/>
      <c r="N125" s="8"/>
      <c r="O125" s="8"/>
      <c r="P125" s="8"/>
      <c r="R125" s="8"/>
      <c r="S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V125" s="8"/>
      <c r="CW125" s="8"/>
      <c r="CX125" s="8"/>
      <c r="CY125" s="8"/>
      <c r="CZ125" s="8"/>
      <c r="DA125" s="8"/>
      <c r="DB125" s="8"/>
      <c r="DC125" s="8"/>
      <c r="DD125" s="8"/>
      <c r="DE125" s="8"/>
      <c r="DF125" s="8"/>
      <c r="DG125" s="8"/>
      <c r="DH125" s="8"/>
      <c r="DI125" s="8"/>
      <c r="DL125" s="8"/>
      <c r="DM125" s="8"/>
      <c r="DN125" s="8"/>
      <c r="DO125" s="8"/>
      <c r="DP125" s="8"/>
      <c r="DQ125" s="8"/>
      <c r="DR125" s="8"/>
      <c r="DS125" s="8"/>
      <c r="DT125" s="8"/>
      <c r="DU125" s="8"/>
      <c r="DV125" s="8"/>
      <c r="DW125" s="8"/>
      <c r="DX125" s="8"/>
      <c r="DY125" s="8"/>
      <c r="DZ125" s="8"/>
      <c r="EA125" s="8"/>
      <c r="EB125" s="8"/>
    </row>
    <row r="126" spans="2:132" x14ac:dyDescent="0.35">
      <c r="B126" s="16"/>
      <c r="C126" s="16"/>
      <c r="D126" s="9"/>
      <c r="E126" s="16"/>
      <c r="F126" s="24"/>
      <c r="G126" s="8"/>
      <c r="H126" s="8"/>
      <c r="I126" s="8"/>
      <c r="J126" s="8"/>
      <c r="K126" s="8"/>
      <c r="L126" s="8"/>
      <c r="M126" s="8"/>
      <c r="N126" s="8"/>
      <c r="O126" s="8"/>
      <c r="P126" s="8"/>
      <c r="R126" s="8"/>
      <c r="S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V126" s="8"/>
      <c r="CW126" s="8"/>
      <c r="CX126" s="8"/>
      <c r="CY126" s="8"/>
      <c r="CZ126" s="8"/>
      <c r="DA126" s="8"/>
      <c r="DB126" s="8"/>
      <c r="DC126" s="8"/>
      <c r="DD126" s="8"/>
      <c r="DE126" s="8"/>
      <c r="DF126" s="8"/>
      <c r="DG126" s="8"/>
      <c r="DH126" s="8"/>
      <c r="DI126" s="8"/>
      <c r="DL126" s="8"/>
      <c r="DM126" s="8"/>
      <c r="DN126" s="8"/>
      <c r="DO126" s="8"/>
      <c r="DP126" s="8"/>
      <c r="DQ126" s="8"/>
      <c r="DR126" s="8"/>
      <c r="DS126" s="8"/>
      <c r="DT126" s="8"/>
      <c r="DU126" s="8"/>
      <c r="DV126" s="8"/>
      <c r="DW126" s="8"/>
      <c r="DX126" s="8"/>
      <c r="DY126" s="8"/>
      <c r="DZ126" s="8"/>
      <c r="EA126" s="8"/>
      <c r="EB126" s="8"/>
    </row>
    <row r="127" spans="2:132" x14ac:dyDescent="0.35">
      <c r="B127" s="16"/>
      <c r="C127" s="16"/>
      <c r="D127" s="9"/>
      <c r="E127" s="16"/>
      <c r="F127" s="24"/>
      <c r="G127" s="8"/>
      <c r="H127" s="8"/>
      <c r="I127" s="8"/>
      <c r="J127" s="8"/>
      <c r="K127" s="8"/>
      <c r="L127" s="8"/>
      <c r="M127" s="8"/>
      <c r="N127" s="8"/>
      <c r="O127" s="8"/>
      <c r="P127" s="8"/>
      <c r="R127" s="8"/>
      <c r="S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V127" s="8"/>
      <c r="CW127" s="8"/>
      <c r="CX127" s="8"/>
      <c r="CY127" s="8"/>
      <c r="CZ127" s="8"/>
      <c r="DA127" s="8"/>
      <c r="DB127" s="8"/>
      <c r="DC127" s="8"/>
      <c r="DD127" s="8"/>
      <c r="DE127" s="8"/>
      <c r="DF127" s="8"/>
      <c r="DG127" s="8"/>
      <c r="DH127" s="8"/>
      <c r="DI127" s="8"/>
      <c r="DL127" s="8"/>
      <c r="DM127" s="8"/>
      <c r="DN127" s="8"/>
      <c r="DO127" s="8"/>
      <c r="DP127" s="8"/>
      <c r="DQ127" s="8"/>
      <c r="DR127" s="8"/>
      <c r="DS127" s="8"/>
      <c r="DT127" s="8"/>
      <c r="DU127" s="8"/>
      <c r="DV127" s="8"/>
      <c r="DW127" s="8"/>
      <c r="DX127" s="8"/>
      <c r="DY127" s="8"/>
      <c r="DZ127" s="8"/>
      <c r="EA127" s="8"/>
      <c r="EB127" s="8"/>
    </row>
    <row r="128" spans="2:132" x14ac:dyDescent="0.35">
      <c r="B128" s="16"/>
      <c r="C128" s="16"/>
      <c r="D128" s="9"/>
      <c r="E128" s="16"/>
      <c r="F128" s="24"/>
      <c r="G128" s="8"/>
      <c r="H128" s="8"/>
      <c r="I128" s="8"/>
      <c r="J128" s="8"/>
      <c r="K128" s="8"/>
      <c r="L128" s="8"/>
      <c r="M128" s="8"/>
      <c r="N128" s="8"/>
      <c r="O128" s="8"/>
      <c r="P128" s="8"/>
      <c r="R128" s="8"/>
      <c r="S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V128" s="8"/>
      <c r="CW128" s="8"/>
      <c r="CX128" s="8"/>
      <c r="CY128" s="8"/>
      <c r="CZ128" s="8"/>
      <c r="DA128" s="8"/>
      <c r="DB128" s="8"/>
      <c r="DC128" s="8"/>
      <c r="DD128" s="8"/>
      <c r="DE128" s="8"/>
      <c r="DF128" s="8"/>
      <c r="DG128" s="8"/>
      <c r="DH128" s="8"/>
      <c r="DI128" s="8"/>
      <c r="DL128" s="8"/>
      <c r="DM128" s="8"/>
      <c r="DN128" s="8"/>
      <c r="DO128" s="8"/>
      <c r="DP128" s="8"/>
      <c r="DQ128" s="8"/>
      <c r="DR128" s="8"/>
      <c r="DS128" s="8"/>
      <c r="DT128" s="8"/>
      <c r="DU128" s="8"/>
      <c r="DV128" s="8"/>
      <c r="DW128" s="8"/>
      <c r="DX128" s="8"/>
      <c r="DY128" s="8"/>
      <c r="DZ128" s="8"/>
      <c r="EA128" s="8"/>
      <c r="EB128" s="8"/>
    </row>
    <row r="129" spans="2:132" x14ac:dyDescent="0.35">
      <c r="B129" s="16"/>
      <c r="C129" s="16"/>
      <c r="D129" s="9"/>
      <c r="E129" s="16"/>
      <c r="F129" s="24"/>
      <c r="G129" s="8"/>
      <c r="H129" s="8"/>
      <c r="I129" s="8"/>
      <c r="J129" s="8"/>
      <c r="K129" s="8"/>
      <c r="L129" s="8"/>
      <c r="M129" s="8"/>
      <c r="N129" s="8"/>
      <c r="O129" s="8"/>
      <c r="P129" s="8"/>
      <c r="R129" s="8"/>
      <c r="S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V129" s="8"/>
      <c r="CW129" s="8"/>
      <c r="CX129" s="8"/>
      <c r="CY129" s="8"/>
      <c r="CZ129" s="8"/>
      <c r="DA129" s="8"/>
      <c r="DB129" s="8"/>
      <c r="DC129" s="8"/>
      <c r="DD129" s="8"/>
      <c r="DE129" s="8"/>
      <c r="DF129" s="8"/>
      <c r="DG129" s="8"/>
      <c r="DH129" s="8"/>
      <c r="DI129" s="8"/>
      <c r="DL129" s="8"/>
      <c r="DM129" s="8"/>
      <c r="DN129" s="8"/>
      <c r="DO129" s="8"/>
      <c r="DP129" s="8"/>
      <c r="DQ129" s="8"/>
      <c r="DR129" s="8"/>
      <c r="DS129" s="8"/>
      <c r="DT129" s="8"/>
      <c r="DU129" s="8"/>
      <c r="DV129" s="8"/>
      <c r="DW129" s="8"/>
      <c r="DX129" s="8"/>
      <c r="DY129" s="8"/>
      <c r="DZ129" s="8"/>
      <c r="EA129" s="8"/>
      <c r="EB129" s="8"/>
    </row>
    <row r="130" spans="2:132" x14ac:dyDescent="0.35">
      <c r="B130" s="16"/>
      <c r="C130" s="16"/>
      <c r="D130" s="9"/>
      <c r="E130" s="16"/>
      <c r="F130" s="24"/>
      <c r="G130" s="8"/>
      <c r="H130" s="8"/>
      <c r="I130" s="8"/>
      <c r="J130" s="8"/>
      <c r="K130" s="8"/>
      <c r="L130" s="8"/>
      <c r="M130" s="8"/>
      <c r="N130" s="8"/>
      <c r="O130" s="8"/>
      <c r="P130" s="8"/>
      <c r="R130" s="8"/>
      <c r="S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V130" s="8"/>
      <c r="CW130" s="8"/>
      <c r="CX130" s="8"/>
      <c r="CY130" s="8"/>
      <c r="CZ130" s="8"/>
      <c r="DA130" s="8"/>
      <c r="DB130" s="8"/>
      <c r="DC130" s="8"/>
      <c r="DD130" s="8"/>
      <c r="DE130" s="8"/>
      <c r="DF130" s="8"/>
      <c r="DG130" s="8"/>
      <c r="DH130" s="8"/>
      <c r="DI130" s="8"/>
      <c r="DL130" s="8"/>
      <c r="DM130" s="8"/>
      <c r="DN130" s="8"/>
      <c r="DO130" s="8"/>
      <c r="DP130" s="8"/>
      <c r="DQ130" s="8"/>
      <c r="DR130" s="8"/>
      <c r="DS130" s="8"/>
      <c r="DT130" s="8"/>
      <c r="DU130" s="8"/>
      <c r="DV130" s="8"/>
      <c r="DW130" s="8"/>
      <c r="DX130" s="8"/>
      <c r="DY130" s="8"/>
      <c r="DZ130" s="8"/>
      <c r="EA130" s="8"/>
      <c r="EB130" s="8"/>
    </row>
    <row r="131" spans="2:132" x14ac:dyDescent="0.35">
      <c r="B131" s="16"/>
      <c r="C131" s="16"/>
      <c r="D131" s="9"/>
      <c r="E131" s="16"/>
      <c r="F131" s="24"/>
      <c r="G131" s="8"/>
      <c r="H131" s="8"/>
      <c r="I131" s="8"/>
      <c r="J131" s="8"/>
      <c r="K131" s="8"/>
      <c r="L131" s="8"/>
      <c r="M131" s="8"/>
      <c r="N131" s="8"/>
      <c r="O131" s="8"/>
      <c r="P131" s="8"/>
      <c r="R131" s="8"/>
      <c r="S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V131" s="8"/>
      <c r="CW131" s="8"/>
      <c r="CX131" s="8"/>
      <c r="CY131" s="8"/>
      <c r="CZ131" s="8"/>
      <c r="DA131" s="8"/>
      <c r="DB131" s="8"/>
      <c r="DC131" s="8"/>
      <c r="DD131" s="8"/>
      <c r="DE131" s="8"/>
      <c r="DF131" s="8"/>
      <c r="DG131" s="8"/>
      <c r="DH131" s="8"/>
      <c r="DI131" s="8"/>
      <c r="DL131" s="8"/>
      <c r="DM131" s="8"/>
      <c r="DN131" s="8"/>
      <c r="DO131" s="8"/>
      <c r="DP131" s="8"/>
      <c r="DQ131" s="8"/>
      <c r="DR131" s="8"/>
      <c r="DS131" s="8"/>
      <c r="DT131" s="8"/>
      <c r="DU131" s="8"/>
      <c r="DV131" s="8"/>
      <c r="DW131" s="8"/>
      <c r="DX131" s="8"/>
      <c r="DY131" s="8"/>
      <c r="DZ131" s="8"/>
      <c r="EA131" s="8"/>
      <c r="EB131" s="8"/>
    </row>
    <row r="132" spans="2:132" x14ac:dyDescent="0.35">
      <c r="B132" s="8"/>
      <c r="C132" s="8"/>
      <c r="D132" s="24"/>
      <c r="E132" s="8"/>
      <c r="F132" s="24"/>
      <c r="G132" s="8"/>
      <c r="H132" s="8"/>
      <c r="I132" s="8"/>
      <c r="J132" s="8"/>
      <c r="K132" s="8"/>
      <c r="L132" s="8"/>
      <c r="M132" s="8"/>
      <c r="N132" s="8"/>
      <c r="O132" s="8"/>
      <c r="P132" s="8"/>
      <c r="R132" s="8"/>
      <c r="S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V132" s="8"/>
      <c r="CW132" s="8"/>
      <c r="CX132" s="8"/>
      <c r="CY132" s="8"/>
      <c r="CZ132" s="8"/>
      <c r="DA132" s="8"/>
      <c r="DB132" s="8"/>
      <c r="DC132" s="8"/>
      <c r="DD132" s="8"/>
      <c r="DE132" s="8"/>
      <c r="DF132" s="8"/>
      <c r="DG132" s="8"/>
      <c r="DH132" s="8"/>
      <c r="DI132" s="8"/>
      <c r="DL132" s="8"/>
      <c r="DM132" s="8"/>
      <c r="DN132" s="8"/>
      <c r="DO132" s="8"/>
      <c r="DP132" s="8"/>
      <c r="DQ132" s="8"/>
      <c r="DR132" s="8"/>
      <c r="DS132" s="8"/>
      <c r="DT132" s="8"/>
      <c r="DU132" s="8"/>
      <c r="DV132" s="8"/>
      <c r="DW132" s="8"/>
      <c r="DX132" s="8"/>
      <c r="DY132" s="8"/>
      <c r="DZ132" s="8"/>
      <c r="EA132" s="8"/>
      <c r="EB132" s="8"/>
    </row>
    <row r="133" spans="2:132" x14ac:dyDescent="0.35">
      <c r="DO133" s="8"/>
      <c r="DP133" s="8"/>
    </row>
  </sheetData>
  <sheetProtection algorithmName="SHA-512" hashValue="hhvbyGkiSuXng+sUhNxxRFJo3LHihvF9LXcqlXzQOQDjk5lc40FdE4F5z1fV/F5eQa21QO7KYlXjtIJ3OjM2fA==" saltValue="GQKOaNBbwChWj7ZPKR8hxQ==" spinCount="100000" sheet="1" formatCells="0" formatColumns="0" formatRows="0" autoFilter="0" pivotTables="0"/>
  <mergeCells count="30">
    <mergeCell ref="B1:G1"/>
    <mergeCell ref="AD3:DP3"/>
    <mergeCell ref="B4:B5"/>
    <mergeCell ref="D4:D5"/>
    <mergeCell ref="E4:E5"/>
    <mergeCell ref="F4:F5"/>
    <mergeCell ref="G4:G5"/>
    <mergeCell ref="I3:AC3"/>
    <mergeCell ref="C4:C5"/>
    <mergeCell ref="C56:G56"/>
    <mergeCell ref="C60:G60"/>
    <mergeCell ref="C62:G62"/>
    <mergeCell ref="C64:G64"/>
    <mergeCell ref="C68:G68"/>
    <mergeCell ref="C66:G66"/>
    <mergeCell ref="C58:G58"/>
    <mergeCell ref="C70:G70"/>
    <mergeCell ref="C95:G95"/>
    <mergeCell ref="C89:G89"/>
    <mergeCell ref="C93:G93"/>
    <mergeCell ref="C94:G94"/>
    <mergeCell ref="C92:G92"/>
    <mergeCell ref="C90:G90"/>
    <mergeCell ref="C91:G91"/>
    <mergeCell ref="C72:G72"/>
    <mergeCell ref="C74:G74"/>
    <mergeCell ref="C76:G76"/>
    <mergeCell ref="C78:G78"/>
    <mergeCell ref="C80:G80"/>
    <mergeCell ref="C88:G88"/>
  </mergeCells>
  <hyperlinks>
    <hyperlink ref="C57" r:id="rId1" xr:uid="{00000000-0004-0000-0100-000000000000}"/>
    <hyperlink ref="C61" r:id="rId2" xr:uid="{00000000-0004-0000-0100-000001000000}"/>
    <hyperlink ref="C73" r:id="rId3" xr:uid="{00000000-0004-0000-0100-000002000000}"/>
    <hyperlink ref="C83" r:id="rId4" xr:uid="{00000000-0004-0000-0100-000004000000}"/>
    <hyperlink ref="C69" r:id="rId5" xr:uid="{00000000-0004-0000-0100-000005000000}"/>
    <hyperlink ref="C75" r:id="rId6" xr:uid="{00000000-0004-0000-0100-000006000000}"/>
    <hyperlink ref="C85" r:id="rId7" xr:uid="{00000000-0004-0000-0100-000007000000}"/>
    <hyperlink ref="C63" r:id="rId8" xr:uid="{00000000-0004-0000-0100-000008000000}"/>
    <hyperlink ref="C65" r:id="rId9" xr:uid="{00000000-0004-0000-0100-000009000000}"/>
    <hyperlink ref="C77" r:id="rId10" xr:uid="{00000000-0004-0000-0100-00000A000000}"/>
    <hyperlink ref="C79" r:id="rId11" xr:uid="{00000000-0004-0000-0100-00000B000000}"/>
    <hyperlink ref="C81" r:id="rId12" xr:uid="{00000000-0004-0000-0100-00000C000000}"/>
    <hyperlink ref="C71" r:id="rId13" xr:uid="{3313746D-D531-4821-A638-C754236BBA9F}"/>
    <hyperlink ref="C67" r:id="rId14" xr:uid="{79C46AC2-C578-45E8-98AE-566E7DFF584A}"/>
    <hyperlink ref="C59" r:id="rId15" xr:uid="{CF01DABF-AAE4-486D-9D7F-ED2E7DE0464F}"/>
    <hyperlink ref="C88:G88" r:id="rId16" display="For the initial health risk assessment (HRA) for a natural gas-fired turbine or LPG turbine, include both the naphthalene and polycyclic aromatic hydrocarbons (PAHs) emission factor from Table 3.1-3 of AP-42.  If the results of the initial HRA indicate a significant cancer risk and the chronic non-cancer risk is less than 0.1, rerun the final HRA with the naphthalene emission factor set to zero.  For additional information, see the District’s Internal Memorandum dated May 2021 regarding PAH and Naphthalene Emission Factors for Natural Gas-Fired Turbines." xr:uid="{78342ECD-935F-44C1-967E-474468D71C1B}"/>
  </hyperlinks>
  <pageMargins left="0.7" right="0.7" top="0.75" bottom="0.75" header="0.3" footer="0.3"/>
  <pageSetup orientation="portrait" horizontalDpi="1200" verticalDpi="1200"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ADB05-1863-48F5-9EBA-1D5A1850B775}">
  <dimension ref="B1:FE108"/>
  <sheetViews>
    <sheetView showGridLines="0" zoomScaleNormal="100" workbookViewId="0">
      <pane xSplit="7" topLeftCell="H1" activePane="topRight" state="frozen"/>
      <selection pane="topRight" activeCell="B1" sqref="B1:G1"/>
    </sheetView>
  </sheetViews>
  <sheetFormatPr defaultRowHeight="14.5" x14ac:dyDescent="0.35"/>
  <cols>
    <col min="1" max="1" width="1.7265625" customWidth="1"/>
    <col min="2" max="2" width="3.7265625" customWidth="1"/>
    <col min="3" max="3" width="19" customWidth="1"/>
    <col min="4" max="4" width="18.453125" customWidth="1"/>
    <col min="5" max="5" width="58.7265625" customWidth="1"/>
    <col min="6" max="6" width="22.81640625" style="32" customWidth="1"/>
    <col min="7" max="7" width="16.7265625" customWidth="1"/>
    <col min="8" max="8" width="23.7265625" bestFit="1" customWidth="1"/>
    <col min="9" max="9" width="11.1796875" hidden="1" customWidth="1"/>
    <col min="10" max="10" width="10.7265625" hidden="1" customWidth="1"/>
    <col min="11" max="11" width="12" bestFit="1" customWidth="1"/>
    <col min="12" max="12" width="8.54296875" bestFit="1" customWidth="1"/>
    <col min="13" max="13" width="10.81640625" bestFit="1" customWidth="1"/>
    <col min="14" max="14" width="10.7265625" bestFit="1" customWidth="1"/>
    <col min="15" max="15" width="14.1796875" bestFit="1" customWidth="1"/>
    <col min="16" max="16" width="18.1796875" bestFit="1" customWidth="1"/>
    <col min="17" max="17" width="9" bestFit="1" customWidth="1"/>
    <col min="18" max="18" width="8.54296875" bestFit="1" customWidth="1"/>
    <col min="19" max="19" width="8.26953125" bestFit="1" customWidth="1"/>
    <col min="20" max="20" width="12.7265625" style="8" bestFit="1" customWidth="1"/>
    <col min="21" max="21" width="9.81640625" bestFit="1" customWidth="1"/>
    <col min="22" max="22" width="14.26953125" customWidth="1"/>
    <col min="23" max="23" width="9" bestFit="1" customWidth="1"/>
    <col min="24" max="24" width="12.54296875" hidden="1" customWidth="1"/>
    <col min="25" max="25" width="10" bestFit="1" customWidth="1"/>
    <col min="26" max="27" width="17.453125" hidden="1" customWidth="1"/>
    <col min="28" max="28" width="10.81640625" customWidth="1"/>
    <col min="29" max="29" width="8" bestFit="1" customWidth="1"/>
    <col min="30" max="30" width="15.453125" bestFit="1" customWidth="1"/>
    <col min="31" max="31" width="17.26953125" bestFit="1" customWidth="1"/>
    <col min="32" max="32" width="14.54296875" bestFit="1" customWidth="1"/>
    <col min="33" max="33" width="12.54296875" bestFit="1" customWidth="1"/>
    <col min="34" max="34" width="9.1796875" bestFit="1" customWidth="1"/>
    <col min="35" max="35" width="13.26953125" bestFit="1" customWidth="1"/>
    <col min="36" max="36" width="10.453125" customWidth="1"/>
    <col min="37" max="37" width="12.453125" bestFit="1" customWidth="1"/>
    <col min="38" max="38" width="19.54296875" bestFit="1" customWidth="1"/>
    <col min="39" max="39" width="9.1796875" bestFit="1" customWidth="1"/>
    <col min="40" max="40" width="16.453125" customWidth="1"/>
    <col min="41" max="41" width="22.81640625" bestFit="1" customWidth="1"/>
    <col min="42" max="42" width="16.453125" customWidth="1"/>
    <col min="43" max="43" width="21.453125" bestFit="1" customWidth="1"/>
    <col min="44" max="44" width="22.7265625" bestFit="1" customWidth="1"/>
    <col min="45" max="45" width="14.7265625" hidden="1" customWidth="1"/>
    <col min="46" max="46" width="17.26953125" hidden="1" customWidth="1"/>
    <col min="47" max="47" width="22.1796875" bestFit="1" customWidth="1"/>
    <col min="48" max="48" width="9.1796875" hidden="1" customWidth="1"/>
    <col min="49" max="49" width="15.7265625" customWidth="1"/>
    <col min="50" max="50" width="12.1796875" bestFit="1" customWidth="1"/>
    <col min="51" max="51" width="9.81640625" customWidth="1"/>
    <col min="52" max="52" width="8.81640625" hidden="1" customWidth="1"/>
    <col min="53" max="53" width="23.54296875" bestFit="1" customWidth="1"/>
    <col min="54" max="54" width="20" bestFit="1" customWidth="1"/>
    <col min="55" max="56" width="21.54296875" hidden="1" customWidth="1"/>
    <col min="57" max="57" width="21.54296875" style="8" customWidth="1"/>
    <col min="58" max="58" width="12.453125" bestFit="1" customWidth="1"/>
    <col min="59" max="59" width="14.81640625" bestFit="1" customWidth="1"/>
    <col min="60" max="60" width="14.81640625" hidden="1" customWidth="1"/>
    <col min="61" max="61" width="20.7265625" hidden="1" customWidth="1"/>
    <col min="62" max="62" width="20.7265625" customWidth="1"/>
    <col min="63" max="63" width="14.26953125" customWidth="1"/>
    <col min="64" max="64" width="9.54296875" bestFit="1" customWidth="1"/>
    <col min="65" max="65" width="15.26953125" customWidth="1"/>
    <col min="66" max="66" width="42.81640625" hidden="1" customWidth="1"/>
    <col min="67" max="68" width="39.26953125" hidden="1" customWidth="1"/>
    <col min="69" max="71" width="39.81640625" hidden="1" customWidth="1"/>
    <col min="72" max="75" width="36.26953125" hidden="1" customWidth="1"/>
    <col min="76" max="76" width="10.54296875" customWidth="1"/>
    <col min="77" max="77" width="18.7265625" bestFit="1" customWidth="1"/>
    <col min="78" max="78" width="19.1796875" bestFit="1" customWidth="1"/>
    <col min="79" max="79" width="19.1796875" customWidth="1"/>
    <col min="80" max="80" width="24.7265625" bestFit="1" customWidth="1"/>
    <col min="81" max="81" width="10.54296875" hidden="1" customWidth="1"/>
    <col min="82" max="82" width="17" hidden="1" customWidth="1"/>
    <col min="83" max="83" width="16.81640625" hidden="1" customWidth="1"/>
    <col min="84" max="84" width="20" customWidth="1"/>
    <col min="85" max="85" width="21.54296875" customWidth="1"/>
    <col min="86" max="86" width="24.453125" hidden="1" customWidth="1"/>
    <col min="87" max="87" width="20.54296875" bestFit="1" customWidth="1"/>
    <col min="88" max="88" width="22.7265625" bestFit="1" customWidth="1"/>
    <col min="89" max="89" width="13.81640625" bestFit="1" customWidth="1"/>
    <col min="90" max="90" width="43.26953125" hidden="1" customWidth="1"/>
    <col min="91" max="91" width="39.7265625" hidden="1" customWidth="1"/>
    <col min="92" max="92" width="25.81640625" bestFit="1" customWidth="1"/>
    <col min="93" max="93" width="39.1796875" hidden="1" customWidth="1"/>
    <col min="94" max="95" width="35.54296875" hidden="1" customWidth="1"/>
    <col min="96" max="96" width="19.453125" customWidth="1"/>
    <col min="97" max="97" width="9.54296875" bestFit="1" customWidth="1"/>
    <col min="98" max="98" width="15.1796875" bestFit="1" customWidth="1"/>
    <col min="99" max="99" width="7.81640625" hidden="1" customWidth="1"/>
    <col min="100" max="100" width="18.1796875" hidden="1" customWidth="1"/>
    <col min="101" max="101" width="11" customWidth="1"/>
    <col min="102" max="102" width="17.453125" hidden="1" customWidth="1"/>
    <col min="103" max="103" width="8.26953125" bestFit="1" customWidth="1"/>
    <col min="104" max="104" width="9.453125" hidden="1" customWidth="1"/>
    <col min="105" max="105" width="8.54296875" hidden="1" customWidth="1"/>
    <col min="106" max="106" width="36.7265625" hidden="1" customWidth="1"/>
    <col min="107" max="107" width="33.1796875" hidden="1" customWidth="1"/>
    <col min="108" max="108" width="26.81640625" hidden="1" customWidth="1"/>
    <col min="109" max="109" width="8.81640625" bestFit="1" customWidth="1"/>
    <col min="110" max="110" width="18.7265625" bestFit="1" customWidth="1"/>
    <col min="111" max="111" width="22.453125" hidden="1" customWidth="1"/>
    <col min="112" max="113" width="24.26953125" hidden="1" customWidth="1"/>
    <col min="114" max="114" width="46.7265625" style="8" hidden="1" customWidth="1"/>
    <col min="115" max="115" width="46" style="8" hidden="1" customWidth="1"/>
    <col min="116" max="116" width="14.7265625" bestFit="1" customWidth="1"/>
    <col min="117" max="117" width="20.26953125" hidden="1" customWidth="1"/>
    <col min="118" max="118" width="8.453125" bestFit="1" customWidth="1"/>
    <col min="119" max="119" width="10.1796875" bestFit="1" customWidth="1"/>
    <col min="120" max="120" width="9.54296875" bestFit="1" customWidth="1"/>
  </cols>
  <sheetData>
    <row r="1" spans="2:132" ht="31" x14ac:dyDescent="0.7">
      <c r="B1" s="552" t="s">
        <v>446</v>
      </c>
      <c r="C1" s="552"/>
      <c r="D1" s="552"/>
      <c r="E1" s="552"/>
      <c r="F1" s="552"/>
      <c r="G1" s="552"/>
      <c r="H1" s="506"/>
      <c r="I1" s="506"/>
      <c r="J1" s="506"/>
      <c r="K1" s="32"/>
      <c r="L1" s="32"/>
      <c r="M1" s="32"/>
      <c r="N1" s="32"/>
      <c r="O1" s="32"/>
      <c r="P1" s="32"/>
      <c r="Q1" s="32"/>
      <c r="R1" s="32"/>
      <c r="S1" s="32"/>
      <c r="T1" s="32"/>
      <c r="U1" s="32"/>
      <c r="V1" s="32"/>
      <c r="W1" s="32"/>
      <c r="X1" s="32"/>
      <c r="Y1" s="32"/>
      <c r="Z1" s="32"/>
      <c r="AA1" s="32"/>
      <c r="AB1" s="32"/>
      <c r="AC1" s="32"/>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32"/>
      <c r="BN1" s="32"/>
      <c r="BO1" s="32"/>
      <c r="BP1" s="32"/>
      <c r="BQ1" s="32"/>
      <c r="BR1" s="32"/>
      <c r="BS1" s="32"/>
      <c r="BT1" s="32"/>
      <c r="BU1" s="32"/>
      <c r="BV1" s="32"/>
      <c r="BW1" s="32"/>
      <c r="BX1" s="32"/>
      <c r="BY1" s="25"/>
      <c r="BZ1" s="25"/>
      <c r="CA1" s="25"/>
      <c r="CB1" s="25"/>
      <c r="CC1" s="25"/>
      <c r="CD1" s="25"/>
      <c r="CE1" s="25"/>
      <c r="CF1" s="25"/>
      <c r="CG1" s="25"/>
      <c r="CH1" s="25"/>
      <c r="CI1" s="25"/>
      <c r="CJ1" s="25"/>
      <c r="CK1" s="25"/>
      <c r="CL1" s="25"/>
      <c r="CM1" s="25"/>
      <c r="CN1" s="25"/>
      <c r="CO1" s="25"/>
      <c r="CP1" s="25"/>
      <c r="CQ1" s="25"/>
      <c r="CR1" s="32"/>
      <c r="CS1" s="25"/>
      <c r="CT1" s="25"/>
      <c r="CU1" s="25"/>
      <c r="CV1" s="25"/>
      <c r="CW1" s="25"/>
      <c r="CX1" s="25"/>
      <c r="CY1" s="25"/>
      <c r="CZ1" s="25"/>
      <c r="DA1" s="32"/>
      <c r="DB1" s="32"/>
      <c r="DC1" s="32"/>
      <c r="DD1" s="25"/>
      <c r="DE1" s="25"/>
      <c r="DF1" s="25"/>
      <c r="DG1" s="25"/>
      <c r="DH1" s="25"/>
      <c r="DI1" s="25"/>
      <c r="DJ1" s="25"/>
      <c r="DK1" s="25"/>
      <c r="DL1" s="25"/>
      <c r="DM1" s="25"/>
      <c r="DN1" s="25"/>
    </row>
    <row r="2" spans="2:132" ht="13.5" customHeight="1" thickBot="1" x14ac:dyDescent="0.7">
      <c r="D2" s="32"/>
      <c r="K2" s="32"/>
      <c r="L2" s="79"/>
      <c r="M2" s="79"/>
      <c r="N2" s="79"/>
      <c r="O2" s="79"/>
      <c r="P2" s="79"/>
      <c r="Q2" s="79"/>
      <c r="R2" s="79"/>
      <c r="S2" s="79"/>
      <c r="T2" s="197"/>
      <c r="U2" s="79"/>
      <c r="V2" s="79"/>
      <c r="W2" s="79"/>
      <c r="X2" s="79"/>
      <c r="Y2" s="79"/>
      <c r="Z2" s="79"/>
      <c r="AA2" s="79"/>
      <c r="AB2" s="79"/>
      <c r="AC2" s="79"/>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2"/>
      <c r="BF2" s="26"/>
      <c r="BG2" s="26"/>
      <c r="BH2" s="26"/>
      <c r="BI2" s="26"/>
      <c r="BJ2" s="26"/>
      <c r="BK2" s="26"/>
      <c r="BL2" s="26"/>
      <c r="BM2" s="32"/>
      <c r="BN2" s="32"/>
      <c r="BO2" s="32"/>
      <c r="BP2" s="32"/>
      <c r="BQ2" s="32"/>
      <c r="BR2" s="32"/>
      <c r="BS2" s="32"/>
      <c r="BT2" s="32"/>
      <c r="BU2" s="32"/>
      <c r="BV2" s="32"/>
      <c r="BW2" s="32"/>
      <c r="BX2" s="32"/>
      <c r="BY2" s="26"/>
      <c r="BZ2" s="26"/>
      <c r="CA2" s="26"/>
      <c r="CB2" s="26"/>
      <c r="CC2" s="26"/>
      <c r="CD2" s="26"/>
      <c r="CE2" s="26"/>
      <c r="CF2" s="26"/>
      <c r="CG2" s="26"/>
      <c r="CH2" s="26"/>
      <c r="CI2" s="26"/>
      <c r="CJ2" s="26"/>
      <c r="CK2" s="26"/>
      <c r="CL2" s="26"/>
      <c r="CM2" s="26"/>
      <c r="CN2" s="26"/>
      <c r="CO2" s="26"/>
      <c r="CP2" s="26"/>
      <c r="CQ2" s="26"/>
      <c r="CR2" s="32"/>
      <c r="CS2" s="26"/>
      <c r="CT2" s="26"/>
      <c r="CU2" s="26"/>
      <c r="CV2" s="26"/>
      <c r="CW2" s="26"/>
      <c r="CX2" s="26"/>
      <c r="CY2" s="26"/>
      <c r="CZ2" s="26"/>
      <c r="DA2" s="32"/>
      <c r="DB2" s="32"/>
      <c r="DC2" s="32"/>
      <c r="DD2" s="26"/>
      <c r="DE2" s="26"/>
      <c r="DF2" s="26"/>
      <c r="DG2" s="26"/>
      <c r="DH2" s="26"/>
      <c r="DI2" s="26"/>
      <c r="DJ2" s="22"/>
      <c r="DK2" s="22"/>
      <c r="DL2" s="26"/>
      <c r="DM2" s="26"/>
      <c r="DN2" s="26"/>
    </row>
    <row r="3" spans="2:132" ht="21.5" thickBot="1" x14ac:dyDescent="0.55000000000000004">
      <c r="B3" s="44"/>
      <c r="C3" s="44"/>
      <c r="D3" s="32"/>
      <c r="G3" s="145"/>
      <c r="H3" s="524" t="s">
        <v>388</v>
      </c>
      <c r="I3" s="554" t="s">
        <v>88</v>
      </c>
      <c r="J3" s="554"/>
      <c r="K3" s="554"/>
      <c r="L3" s="554"/>
      <c r="M3" s="554"/>
      <c r="N3" s="554"/>
      <c r="O3" s="554"/>
      <c r="P3" s="554"/>
      <c r="Q3" s="554"/>
      <c r="R3" s="554"/>
      <c r="S3" s="554"/>
      <c r="T3" s="554"/>
      <c r="U3" s="554"/>
      <c r="V3" s="554"/>
      <c r="W3" s="554"/>
      <c r="X3" s="554"/>
      <c r="Y3" s="554"/>
      <c r="Z3" s="554"/>
      <c r="AA3" s="554"/>
      <c r="AB3" s="554"/>
      <c r="AC3" s="555"/>
      <c r="AD3" s="572" t="s">
        <v>195</v>
      </c>
      <c r="AE3" s="573"/>
      <c r="AF3" s="573"/>
      <c r="AG3" s="573"/>
      <c r="AH3" s="573"/>
      <c r="AI3" s="573"/>
      <c r="AJ3" s="573"/>
      <c r="AK3" s="573"/>
      <c r="AL3" s="573"/>
      <c r="AM3" s="573"/>
      <c r="AN3" s="573"/>
      <c r="AO3" s="573"/>
      <c r="AP3" s="573"/>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3"/>
      <c r="CC3" s="573"/>
      <c r="CD3" s="573"/>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4"/>
    </row>
    <row r="4" spans="2:132" ht="15.75" customHeight="1" x14ac:dyDescent="0.35">
      <c r="B4" s="568"/>
      <c r="C4" s="556" t="s">
        <v>0</v>
      </c>
      <c r="D4" s="558" t="s">
        <v>326</v>
      </c>
      <c r="E4" s="560" t="s">
        <v>1</v>
      </c>
      <c r="F4" s="562" t="s">
        <v>2</v>
      </c>
      <c r="G4" s="564" t="s">
        <v>142</v>
      </c>
      <c r="H4" s="525" t="s">
        <v>389</v>
      </c>
      <c r="I4" s="240" t="s">
        <v>125</v>
      </c>
      <c r="J4" s="240" t="s">
        <v>254</v>
      </c>
      <c r="K4" s="1" t="s">
        <v>3</v>
      </c>
      <c r="L4" s="67" t="s">
        <v>4</v>
      </c>
      <c r="M4" s="1" t="s">
        <v>5</v>
      </c>
      <c r="N4" s="1" t="s">
        <v>6</v>
      </c>
      <c r="O4" s="1" t="s">
        <v>150</v>
      </c>
      <c r="P4" s="67" t="s">
        <v>151</v>
      </c>
      <c r="Q4" s="322" t="s">
        <v>7</v>
      </c>
      <c r="R4" s="1" t="s">
        <v>8</v>
      </c>
      <c r="S4" s="1" t="s">
        <v>9</v>
      </c>
      <c r="T4" s="1" t="s">
        <v>10</v>
      </c>
      <c r="U4" s="1" t="s">
        <v>11</v>
      </c>
      <c r="V4" s="67" t="s">
        <v>12</v>
      </c>
      <c r="W4" s="1" t="s">
        <v>13</v>
      </c>
      <c r="X4" s="67" t="s">
        <v>127</v>
      </c>
      <c r="Y4" s="1" t="s">
        <v>14</v>
      </c>
      <c r="Z4" s="1" t="s">
        <v>126</v>
      </c>
      <c r="AA4" s="1" t="s">
        <v>348</v>
      </c>
      <c r="AB4" s="1" t="s">
        <v>15</v>
      </c>
      <c r="AC4" s="72" t="s">
        <v>16</v>
      </c>
      <c r="AD4" s="142" t="s">
        <v>17</v>
      </c>
      <c r="AE4" s="67" t="s">
        <v>18</v>
      </c>
      <c r="AF4" s="1" t="s">
        <v>19</v>
      </c>
      <c r="AG4" s="67" t="s">
        <v>120</v>
      </c>
      <c r="AH4" s="1" t="s">
        <v>20</v>
      </c>
      <c r="AI4" s="1" t="s">
        <v>121</v>
      </c>
      <c r="AJ4" s="1" t="s">
        <v>21</v>
      </c>
      <c r="AK4" s="67" t="s">
        <v>22</v>
      </c>
      <c r="AL4" s="1" t="s">
        <v>23</v>
      </c>
      <c r="AM4" s="1" t="s">
        <v>24</v>
      </c>
      <c r="AN4" s="1" t="s">
        <v>25</v>
      </c>
      <c r="AO4" s="1" t="s">
        <v>26</v>
      </c>
      <c r="AP4" s="67" t="s">
        <v>27</v>
      </c>
      <c r="AQ4" s="67" t="s">
        <v>199</v>
      </c>
      <c r="AR4" s="1" t="s">
        <v>28</v>
      </c>
      <c r="AS4" s="1" t="s">
        <v>152</v>
      </c>
      <c r="AT4" s="1" t="s">
        <v>314</v>
      </c>
      <c r="AU4" s="1" t="s">
        <v>29</v>
      </c>
      <c r="AV4" s="1" t="s">
        <v>109</v>
      </c>
      <c r="AW4" s="1" t="s">
        <v>94</v>
      </c>
      <c r="AX4" s="1" t="s">
        <v>30</v>
      </c>
      <c r="AY4" s="1" t="s">
        <v>31</v>
      </c>
      <c r="AZ4" s="67" t="s">
        <v>318</v>
      </c>
      <c r="BA4" s="1" t="s">
        <v>93</v>
      </c>
      <c r="BB4" s="1" t="s">
        <v>178</v>
      </c>
      <c r="BC4" s="67" t="s">
        <v>153</v>
      </c>
      <c r="BD4" s="67" t="s">
        <v>154</v>
      </c>
      <c r="BE4" s="1" t="s">
        <v>220</v>
      </c>
      <c r="BF4" s="1" t="s">
        <v>179</v>
      </c>
      <c r="BG4" s="1" t="s">
        <v>155</v>
      </c>
      <c r="BH4" s="1" t="s">
        <v>316</v>
      </c>
      <c r="BI4" s="1" t="s">
        <v>32</v>
      </c>
      <c r="BJ4" s="1" t="s">
        <v>222</v>
      </c>
      <c r="BK4" s="67" t="s">
        <v>33</v>
      </c>
      <c r="BL4" s="67" t="s">
        <v>34</v>
      </c>
      <c r="BM4" s="1" t="s">
        <v>35</v>
      </c>
      <c r="BN4" s="1" t="s">
        <v>241</v>
      </c>
      <c r="BO4" s="1" t="s">
        <v>243</v>
      </c>
      <c r="BP4" s="1" t="s">
        <v>244</v>
      </c>
      <c r="BQ4" s="1" t="s">
        <v>238</v>
      </c>
      <c r="BR4" s="1" t="s">
        <v>239</v>
      </c>
      <c r="BS4" s="1" t="s">
        <v>240</v>
      </c>
      <c r="BT4" s="1" t="s">
        <v>245</v>
      </c>
      <c r="BU4" s="1" t="s">
        <v>246</v>
      </c>
      <c r="BV4" s="1" t="s">
        <v>247</v>
      </c>
      <c r="BW4" s="1" t="s">
        <v>248</v>
      </c>
      <c r="BX4" s="1" t="s">
        <v>40</v>
      </c>
      <c r="BY4" s="1" t="s">
        <v>90</v>
      </c>
      <c r="BZ4" s="1" t="s">
        <v>224</v>
      </c>
      <c r="CA4" s="322" t="s">
        <v>376</v>
      </c>
      <c r="CB4" s="1" t="s">
        <v>36</v>
      </c>
      <c r="CC4" s="1" t="s">
        <v>37</v>
      </c>
      <c r="CD4" s="1" t="s">
        <v>315</v>
      </c>
      <c r="CE4" s="67" t="s">
        <v>317</v>
      </c>
      <c r="CF4" s="1" t="s">
        <v>92</v>
      </c>
      <c r="CG4" s="1" t="s">
        <v>156</v>
      </c>
      <c r="CH4" s="1" t="s">
        <v>157</v>
      </c>
      <c r="CI4" s="1" t="s">
        <v>38</v>
      </c>
      <c r="CJ4" s="67" t="s">
        <v>158</v>
      </c>
      <c r="CK4" s="1" t="s">
        <v>39</v>
      </c>
      <c r="CL4" s="1" t="s">
        <v>242</v>
      </c>
      <c r="CM4" s="1" t="s">
        <v>249</v>
      </c>
      <c r="CN4" s="1" t="s">
        <v>198</v>
      </c>
      <c r="CO4" s="1" t="s">
        <v>237</v>
      </c>
      <c r="CP4" s="1" t="s">
        <v>250</v>
      </c>
      <c r="CQ4" s="1" t="s">
        <v>251</v>
      </c>
      <c r="CR4" s="1" t="s">
        <v>91</v>
      </c>
      <c r="CS4" s="67" t="s">
        <v>41</v>
      </c>
      <c r="CT4" s="67" t="s">
        <v>42</v>
      </c>
      <c r="CU4" s="1" t="s">
        <v>329</v>
      </c>
      <c r="CV4" s="67" t="s">
        <v>253</v>
      </c>
      <c r="CW4" s="1" t="s">
        <v>82</v>
      </c>
      <c r="CX4" s="1" t="s">
        <v>83</v>
      </c>
      <c r="CY4" s="67" t="s">
        <v>43</v>
      </c>
      <c r="CZ4" s="67" t="s">
        <v>235</v>
      </c>
      <c r="DA4" s="1" t="s">
        <v>44</v>
      </c>
      <c r="DB4" s="1" t="s">
        <v>236</v>
      </c>
      <c r="DC4" s="1" t="s">
        <v>252</v>
      </c>
      <c r="DD4" s="1" t="s">
        <v>160</v>
      </c>
      <c r="DE4" s="1" t="s">
        <v>45</v>
      </c>
      <c r="DF4" s="1" t="s">
        <v>122</v>
      </c>
      <c r="DG4" s="1" t="s">
        <v>161</v>
      </c>
      <c r="DH4" s="67" t="s">
        <v>162</v>
      </c>
      <c r="DI4" s="67" t="s">
        <v>223</v>
      </c>
      <c r="DJ4" s="1" t="s">
        <v>303</v>
      </c>
      <c r="DK4" s="1" t="s">
        <v>304</v>
      </c>
      <c r="DL4" s="1" t="s">
        <v>46</v>
      </c>
      <c r="DM4" s="1" t="s">
        <v>211</v>
      </c>
      <c r="DN4" s="1" t="s">
        <v>163</v>
      </c>
      <c r="DO4" s="1" t="s">
        <v>164</v>
      </c>
      <c r="DP4" s="2" t="s">
        <v>165</v>
      </c>
      <c r="DQ4" s="8"/>
      <c r="DR4" s="8"/>
      <c r="DS4" s="8"/>
      <c r="DT4" s="8"/>
      <c r="DU4" s="8"/>
      <c r="DV4" s="8"/>
      <c r="DW4" s="8"/>
      <c r="DX4" s="8"/>
      <c r="DY4" s="8"/>
      <c r="DZ4" s="8"/>
      <c r="EA4" s="8"/>
      <c r="EB4" s="8"/>
    </row>
    <row r="5" spans="2:132" ht="15.75" customHeight="1" thickBot="1" x14ac:dyDescent="0.4">
      <c r="B5" s="569"/>
      <c r="C5" s="557"/>
      <c r="D5" s="559"/>
      <c r="E5" s="561"/>
      <c r="F5" s="563"/>
      <c r="G5" s="565"/>
      <c r="H5" s="526">
        <v>7446095</v>
      </c>
      <c r="I5" s="78">
        <v>7429905</v>
      </c>
      <c r="J5" s="78">
        <v>7440360</v>
      </c>
      <c r="K5" s="5">
        <v>7440382</v>
      </c>
      <c r="L5" s="78">
        <v>7440393</v>
      </c>
      <c r="M5" s="5">
        <v>7440417</v>
      </c>
      <c r="N5" s="5">
        <v>7440439</v>
      </c>
      <c r="O5" s="5">
        <v>18540299</v>
      </c>
      <c r="P5" s="78">
        <v>7440473</v>
      </c>
      <c r="Q5" s="323">
        <v>7440484</v>
      </c>
      <c r="R5" s="5">
        <v>7440508</v>
      </c>
      <c r="S5" s="5">
        <v>7439921</v>
      </c>
      <c r="T5" s="5">
        <v>7439965</v>
      </c>
      <c r="U5" s="5">
        <v>7439976</v>
      </c>
      <c r="V5" s="78">
        <v>7439987</v>
      </c>
      <c r="W5" s="5">
        <v>7440020</v>
      </c>
      <c r="X5" s="78">
        <v>7723140</v>
      </c>
      <c r="Y5" s="5">
        <v>7782492</v>
      </c>
      <c r="Z5" s="5">
        <v>1175</v>
      </c>
      <c r="AA5" s="5">
        <v>9960</v>
      </c>
      <c r="AB5" s="5">
        <v>7440622</v>
      </c>
      <c r="AC5" s="91">
        <v>7440666</v>
      </c>
      <c r="AD5" s="143">
        <v>83329</v>
      </c>
      <c r="AE5" s="78">
        <v>208968</v>
      </c>
      <c r="AF5" s="5">
        <v>75070</v>
      </c>
      <c r="AG5" s="78">
        <v>75058</v>
      </c>
      <c r="AH5" s="5">
        <v>107028</v>
      </c>
      <c r="AI5" s="5">
        <v>107131</v>
      </c>
      <c r="AJ5" s="5">
        <v>7664417</v>
      </c>
      <c r="AK5" s="78">
        <v>120127</v>
      </c>
      <c r="AL5" s="5">
        <v>56553</v>
      </c>
      <c r="AM5" s="5">
        <v>71432</v>
      </c>
      <c r="AN5" s="5">
        <v>50328</v>
      </c>
      <c r="AO5" s="5">
        <v>205992</v>
      </c>
      <c r="AP5" s="78">
        <v>192972</v>
      </c>
      <c r="AQ5" s="78">
        <v>191242</v>
      </c>
      <c r="AR5" s="5">
        <v>207089</v>
      </c>
      <c r="AS5" s="5">
        <v>106990</v>
      </c>
      <c r="AT5" s="5">
        <v>75150</v>
      </c>
      <c r="AU5" s="5">
        <v>56235</v>
      </c>
      <c r="AV5" s="5">
        <v>7782505</v>
      </c>
      <c r="AW5" s="5">
        <v>108907</v>
      </c>
      <c r="AX5" s="5">
        <v>67663</v>
      </c>
      <c r="AY5" s="5">
        <v>218019</v>
      </c>
      <c r="AZ5" s="78">
        <v>98828</v>
      </c>
      <c r="BA5" s="5">
        <v>53703</v>
      </c>
      <c r="BB5" s="5">
        <v>75343</v>
      </c>
      <c r="BC5" s="78">
        <v>78875</v>
      </c>
      <c r="BD5" s="78">
        <v>542756</v>
      </c>
      <c r="BE5" s="5">
        <v>106467</v>
      </c>
      <c r="BF5" s="5">
        <v>123911</v>
      </c>
      <c r="BG5" s="5">
        <v>100414</v>
      </c>
      <c r="BH5" s="5">
        <v>75003</v>
      </c>
      <c r="BI5" s="5">
        <v>106934</v>
      </c>
      <c r="BJ5" s="5">
        <v>107062</v>
      </c>
      <c r="BK5" s="78">
        <v>206440</v>
      </c>
      <c r="BL5" s="78">
        <v>86737</v>
      </c>
      <c r="BM5" s="5">
        <v>50000</v>
      </c>
      <c r="BN5" s="5">
        <v>35822469</v>
      </c>
      <c r="BO5" s="5">
        <v>67562394</v>
      </c>
      <c r="BP5" s="5">
        <v>55673897</v>
      </c>
      <c r="BQ5" s="5">
        <v>39227286</v>
      </c>
      <c r="BR5" s="5">
        <v>57653857</v>
      </c>
      <c r="BS5" s="5">
        <v>19408743</v>
      </c>
      <c r="BT5" s="5">
        <v>70648269</v>
      </c>
      <c r="BU5" s="5">
        <v>57117449</v>
      </c>
      <c r="BV5" s="5">
        <v>72918219</v>
      </c>
      <c r="BW5" s="5">
        <v>60851345</v>
      </c>
      <c r="BX5" s="5">
        <v>110543</v>
      </c>
      <c r="BY5" s="5">
        <v>7647010</v>
      </c>
      <c r="BZ5" s="5">
        <v>7664393</v>
      </c>
      <c r="CA5" s="323">
        <v>7783064</v>
      </c>
      <c r="CB5" s="5">
        <v>193395</v>
      </c>
      <c r="CC5" s="5">
        <v>67561</v>
      </c>
      <c r="CD5" s="5">
        <v>74839</v>
      </c>
      <c r="CE5" s="78">
        <v>74873</v>
      </c>
      <c r="CF5" s="5">
        <v>71556</v>
      </c>
      <c r="CG5" s="5">
        <v>78933</v>
      </c>
      <c r="CH5" s="5">
        <v>1634044</v>
      </c>
      <c r="CI5" s="5">
        <v>75092</v>
      </c>
      <c r="CJ5" s="78">
        <v>91576</v>
      </c>
      <c r="CK5" s="5">
        <v>91203</v>
      </c>
      <c r="CL5" s="5">
        <v>3268879</v>
      </c>
      <c r="CM5" s="5">
        <v>39001020</v>
      </c>
      <c r="CN5" s="5" t="s">
        <v>159</v>
      </c>
      <c r="CO5" s="5">
        <v>40321764</v>
      </c>
      <c r="CP5" s="5">
        <v>57117416</v>
      </c>
      <c r="CQ5" s="5">
        <v>57117314</v>
      </c>
      <c r="CR5" s="5">
        <v>127184</v>
      </c>
      <c r="CS5" s="78">
        <v>198550</v>
      </c>
      <c r="CT5" s="78">
        <v>85018</v>
      </c>
      <c r="CU5" s="5">
        <v>108952</v>
      </c>
      <c r="CV5" s="78">
        <v>123386</v>
      </c>
      <c r="CW5" s="5">
        <v>115071</v>
      </c>
      <c r="CX5" s="5">
        <v>75569</v>
      </c>
      <c r="CY5" s="78">
        <v>129000</v>
      </c>
      <c r="CZ5" s="78">
        <v>106514</v>
      </c>
      <c r="DA5" s="5">
        <v>100425</v>
      </c>
      <c r="DB5" s="5">
        <v>1746016</v>
      </c>
      <c r="DC5" s="5">
        <v>51207319</v>
      </c>
      <c r="DD5" s="5">
        <v>79345</v>
      </c>
      <c r="DE5" s="5">
        <v>108883</v>
      </c>
      <c r="DF5" s="5">
        <v>79016</v>
      </c>
      <c r="DG5" s="5">
        <v>79005</v>
      </c>
      <c r="DH5" s="78">
        <v>95636</v>
      </c>
      <c r="DI5" s="78">
        <v>540841</v>
      </c>
      <c r="DJ5" s="5">
        <v>1085</v>
      </c>
      <c r="DK5" s="5">
        <v>1080</v>
      </c>
      <c r="DL5" s="5">
        <v>75014</v>
      </c>
      <c r="DM5" s="5">
        <v>75354</v>
      </c>
      <c r="DN5" s="5">
        <v>1330207</v>
      </c>
      <c r="DO5" s="5">
        <v>108383</v>
      </c>
      <c r="DP5" s="6">
        <v>95476</v>
      </c>
      <c r="DQ5" s="8"/>
      <c r="DR5" s="8"/>
      <c r="DS5" s="8"/>
      <c r="DT5" s="8"/>
      <c r="DU5" s="8"/>
      <c r="DV5" s="8"/>
      <c r="DW5" s="8"/>
      <c r="DX5" s="8"/>
      <c r="DY5" s="8"/>
      <c r="DZ5" s="8"/>
      <c r="EA5" s="8"/>
      <c r="EB5" s="8"/>
    </row>
    <row r="6" spans="2:132" x14ac:dyDescent="0.35">
      <c r="B6" s="117"/>
      <c r="C6" s="280" t="s">
        <v>187</v>
      </c>
      <c r="D6" s="13"/>
      <c r="E6" s="7"/>
      <c r="F6" s="83"/>
      <c r="G6" s="20"/>
      <c r="H6" s="532"/>
      <c r="I6" s="71"/>
      <c r="J6" s="71"/>
      <c r="K6" s="51"/>
      <c r="L6" s="68"/>
      <c r="M6" s="51"/>
      <c r="N6" s="51"/>
      <c r="O6" s="51"/>
      <c r="P6" s="68"/>
      <c r="Q6" s="438"/>
      <c r="R6" s="51"/>
      <c r="S6" s="51"/>
      <c r="T6" s="51"/>
      <c r="U6" s="51"/>
      <c r="V6" s="68"/>
      <c r="W6" s="51"/>
      <c r="X6" s="68"/>
      <c r="Y6" s="51"/>
      <c r="Z6" s="51"/>
      <c r="AA6" s="51"/>
      <c r="AB6" s="51"/>
      <c r="AC6" s="73"/>
      <c r="AD6" s="150"/>
      <c r="AE6" s="71"/>
      <c r="AF6" s="19"/>
      <c r="AG6" s="71"/>
      <c r="AH6" s="19"/>
      <c r="AI6" s="19"/>
      <c r="AJ6" s="19"/>
      <c r="AK6" s="71"/>
      <c r="AL6" s="19"/>
      <c r="AM6" s="19"/>
      <c r="AN6" s="19"/>
      <c r="AO6" s="19"/>
      <c r="AP6" s="71"/>
      <c r="AQ6" s="71"/>
      <c r="AR6" s="19"/>
      <c r="AS6" s="19"/>
      <c r="AT6" s="19"/>
      <c r="AU6" s="19"/>
      <c r="AV6" s="19"/>
      <c r="AW6" s="19"/>
      <c r="AX6" s="19"/>
      <c r="AY6" s="19"/>
      <c r="AZ6" s="71"/>
      <c r="BA6" s="19"/>
      <c r="BB6" s="19"/>
      <c r="BC6" s="71"/>
      <c r="BD6" s="71"/>
      <c r="BE6" s="19"/>
      <c r="BF6" s="19"/>
      <c r="BG6" s="19"/>
      <c r="BH6" s="19"/>
      <c r="BI6" s="19"/>
      <c r="BJ6" s="19"/>
      <c r="BK6" s="71"/>
      <c r="BL6" s="71"/>
      <c r="BM6" s="19"/>
      <c r="BN6" s="19"/>
      <c r="BO6" s="19"/>
      <c r="BP6" s="19"/>
      <c r="BQ6" s="19"/>
      <c r="BR6" s="19"/>
      <c r="BS6" s="19"/>
      <c r="BT6" s="19"/>
      <c r="BU6" s="19"/>
      <c r="BV6" s="19"/>
      <c r="BW6" s="19"/>
      <c r="BX6" s="19"/>
      <c r="BY6" s="19"/>
      <c r="BZ6" s="19"/>
      <c r="CA6" s="19"/>
      <c r="CB6" s="19"/>
      <c r="CC6" s="19"/>
      <c r="CD6" s="19"/>
      <c r="CE6" s="71"/>
      <c r="CF6" s="19"/>
      <c r="CG6" s="19"/>
      <c r="CH6" s="19"/>
      <c r="CI6" s="19"/>
      <c r="CJ6" s="71"/>
      <c r="CK6" s="19"/>
      <c r="CL6" s="19"/>
      <c r="CM6" s="19"/>
      <c r="CN6" s="51"/>
      <c r="CO6" s="51"/>
      <c r="CP6" s="51"/>
      <c r="CQ6" s="51"/>
      <c r="CR6" s="19"/>
      <c r="CS6" s="71"/>
      <c r="CT6" s="71"/>
      <c r="CU6" s="19"/>
      <c r="CV6" s="71"/>
      <c r="CW6" s="19"/>
      <c r="CX6" s="19"/>
      <c r="CY6" s="71"/>
      <c r="CZ6" s="71"/>
      <c r="DA6" s="19"/>
      <c r="DB6" s="19"/>
      <c r="DC6" s="19"/>
      <c r="DD6" s="19"/>
      <c r="DE6" s="19"/>
      <c r="DF6" s="19"/>
      <c r="DG6" s="19"/>
      <c r="DH6" s="71"/>
      <c r="DI6" s="71"/>
      <c r="DJ6" s="19"/>
      <c r="DK6" s="19"/>
      <c r="DL6" s="19"/>
      <c r="DM6" s="19"/>
      <c r="DN6" s="19"/>
      <c r="DO6" s="19"/>
      <c r="DP6" s="20"/>
      <c r="DQ6" s="8"/>
      <c r="DR6" s="8"/>
      <c r="DS6" s="8"/>
      <c r="DT6" s="8"/>
      <c r="DU6" s="8"/>
      <c r="DV6" s="8"/>
      <c r="DW6" s="8"/>
      <c r="DX6" s="8"/>
      <c r="DY6" s="8"/>
      <c r="DZ6" s="8"/>
      <c r="EA6" s="8"/>
      <c r="EB6" s="8"/>
    </row>
    <row r="7" spans="2:132" ht="16.5" x14ac:dyDescent="0.35">
      <c r="B7" s="42"/>
      <c r="C7" s="282"/>
      <c r="D7" s="9">
        <v>30600904</v>
      </c>
      <c r="E7" s="139" t="s">
        <v>47</v>
      </c>
      <c r="F7" s="54" t="s">
        <v>421</v>
      </c>
      <c r="G7" s="314" t="s">
        <v>146</v>
      </c>
      <c r="H7" s="542" t="s">
        <v>457</v>
      </c>
      <c r="I7" s="69" t="s">
        <v>78</v>
      </c>
      <c r="J7" s="69" t="s">
        <v>78</v>
      </c>
      <c r="K7" s="17">
        <v>2.0000000000000001E-4</v>
      </c>
      <c r="L7" s="69">
        <v>4.4000000000000003E-3</v>
      </c>
      <c r="M7" s="238">
        <v>1.2E-5</v>
      </c>
      <c r="N7" s="17">
        <v>1.1000000000000001E-3</v>
      </c>
      <c r="O7" s="138">
        <f>20%*P7</f>
        <v>2.8000000000000003E-4</v>
      </c>
      <c r="P7" s="69">
        <v>1.4E-3</v>
      </c>
      <c r="Q7" s="439">
        <v>8.3999999999999995E-5</v>
      </c>
      <c r="R7" s="17">
        <v>8.4999999999999995E-4</v>
      </c>
      <c r="S7" s="17">
        <v>5.0000000000000001E-4</v>
      </c>
      <c r="T7" s="17">
        <v>3.8000000000000002E-4</v>
      </c>
      <c r="U7" s="17">
        <v>2.5999999999999998E-4</v>
      </c>
      <c r="V7" s="69">
        <v>1.1000000000000001E-3</v>
      </c>
      <c r="W7" s="17">
        <v>2.0999999999999999E-3</v>
      </c>
      <c r="X7" s="69" t="s">
        <v>78</v>
      </c>
      <c r="Y7" s="238">
        <v>2.4000000000000001E-5</v>
      </c>
      <c r="Z7" s="17" t="s">
        <v>78</v>
      </c>
      <c r="AA7" s="17" t="s">
        <v>78</v>
      </c>
      <c r="AB7" s="17">
        <v>2.3E-3</v>
      </c>
      <c r="AC7" s="77">
        <v>2.9000000000000001E-2</v>
      </c>
      <c r="AD7" s="151" t="s">
        <v>78</v>
      </c>
      <c r="AE7" s="69" t="s">
        <v>78</v>
      </c>
      <c r="AF7" s="17">
        <v>4.2999999999999997E-2</v>
      </c>
      <c r="AG7" s="69" t="s">
        <v>78</v>
      </c>
      <c r="AH7" s="92">
        <v>0.01</v>
      </c>
      <c r="AI7" s="17" t="s">
        <v>78</v>
      </c>
      <c r="AJ7" s="17" t="s">
        <v>78</v>
      </c>
      <c r="AK7" s="69" t="s">
        <v>78</v>
      </c>
      <c r="AL7" s="17" t="s">
        <v>78</v>
      </c>
      <c r="AM7" s="17">
        <v>0.159</v>
      </c>
      <c r="AN7" s="17" t="s">
        <v>78</v>
      </c>
      <c r="AO7" s="17" t="s">
        <v>78</v>
      </c>
      <c r="AP7" s="69" t="s">
        <v>78</v>
      </c>
      <c r="AQ7" s="69" t="s">
        <v>78</v>
      </c>
      <c r="AR7" s="17" t="s">
        <v>78</v>
      </c>
      <c r="AS7" s="17" t="s">
        <v>78</v>
      </c>
      <c r="AT7" s="17" t="s">
        <v>78</v>
      </c>
      <c r="AU7" s="17" t="s">
        <v>78</v>
      </c>
      <c r="AV7" s="17" t="s">
        <v>78</v>
      </c>
      <c r="AW7" s="17" t="s">
        <v>78</v>
      </c>
      <c r="AX7" s="17" t="s">
        <v>78</v>
      </c>
      <c r="AY7" s="17" t="s">
        <v>78</v>
      </c>
      <c r="AZ7" s="69" t="s">
        <v>78</v>
      </c>
      <c r="BA7" s="17" t="s">
        <v>78</v>
      </c>
      <c r="BB7" s="17" t="s">
        <v>78</v>
      </c>
      <c r="BC7" s="69" t="s">
        <v>78</v>
      </c>
      <c r="BD7" s="69" t="s">
        <v>78</v>
      </c>
      <c r="BE7" s="17" t="s">
        <v>78</v>
      </c>
      <c r="BF7" s="17" t="s">
        <v>78</v>
      </c>
      <c r="BG7" s="17">
        <v>1.444</v>
      </c>
      <c r="BH7" s="17" t="s">
        <v>78</v>
      </c>
      <c r="BI7" s="17" t="s">
        <v>78</v>
      </c>
      <c r="BJ7" s="17" t="s">
        <v>78</v>
      </c>
      <c r="BK7" s="69" t="s">
        <v>78</v>
      </c>
      <c r="BL7" s="69" t="s">
        <v>78</v>
      </c>
      <c r="BM7" s="17">
        <v>1.169</v>
      </c>
      <c r="BN7" s="17" t="s">
        <v>78</v>
      </c>
      <c r="BO7" s="17" t="s">
        <v>78</v>
      </c>
      <c r="BP7" s="17" t="s">
        <v>78</v>
      </c>
      <c r="BQ7" s="17" t="s">
        <v>78</v>
      </c>
      <c r="BR7" s="17" t="s">
        <v>78</v>
      </c>
      <c r="BS7" s="17" t="s">
        <v>78</v>
      </c>
      <c r="BT7" s="17" t="s">
        <v>78</v>
      </c>
      <c r="BU7" s="17" t="s">
        <v>78</v>
      </c>
      <c r="BV7" s="17" t="s">
        <v>78</v>
      </c>
      <c r="BW7" s="17" t="s">
        <v>78</v>
      </c>
      <c r="BX7" s="17">
        <v>2.9000000000000001E-2</v>
      </c>
      <c r="BY7" s="17" t="s">
        <v>78</v>
      </c>
      <c r="BZ7" s="17" t="s">
        <v>78</v>
      </c>
      <c r="CA7" s="17" t="s">
        <v>78</v>
      </c>
      <c r="CB7" s="17" t="s">
        <v>78</v>
      </c>
      <c r="CC7" s="17" t="s">
        <v>78</v>
      </c>
      <c r="CD7" s="17" t="s">
        <v>78</v>
      </c>
      <c r="CE7" s="69" t="s">
        <v>78</v>
      </c>
      <c r="CF7" s="17" t="s">
        <v>78</v>
      </c>
      <c r="CG7" s="17" t="s">
        <v>78</v>
      </c>
      <c r="CH7" s="17" t="s">
        <v>78</v>
      </c>
      <c r="CI7" s="17" t="s">
        <v>78</v>
      </c>
      <c r="CJ7" s="69" t="s">
        <v>78</v>
      </c>
      <c r="CK7" s="17">
        <v>1.0999999999999999E-2</v>
      </c>
      <c r="CL7" s="17" t="s">
        <v>78</v>
      </c>
      <c r="CM7" s="17" t="s">
        <v>78</v>
      </c>
      <c r="CN7" s="17">
        <v>3.0000000000000001E-3</v>
      </c>
      <c r="CO7" s="17" t="s">
        <v>78</v>
      </c>
      <c r="CP7" s="17" t="s">
        <v>78</v>
      </c>
      <c r="CQ7" s="17" t="s">
        <v>78</v>
      </c>
      <c r="CR7" s="17" t="s">
        <v>78</v>
      </c>
      <c r="CS7" s="69" t="s">
        <v>78</v>
      </c>
      <c r="CT7" s="69" t="s">
        <v>78</v>
      </c>
      <c r="CU7" s="17" t="s">
        <v>78</v>
      </c>
      <c r="CV7" s="69" t="s">
        <v>78</v>
      </c>
      <c r="CW7" s="92">
        <v>2.44</v>
      </c>
      <c r="CX7" s="17" t="s">
        <v>78</v>
      </c>
      <c r="CY7" s="69" t="s">
        <v>78</v>
      </c>
      <c r="CZ7" s="69" t="s">
        <v>78</v>
      </c>
      <c r="DA7" s="17" t="s">
        <v>78</v>
      </c>
      <c r="DB7" s="17" t="s">
        <v>78</v>
      </c>
      <c r="DC7" s="17" t="s">
        <v>78</v>
      </c>
      <c r="DD7" s="17" t="s">
        <v>78</v>
      </c>
      <c r="DE7" s="17">
        <v>5.8000000000000003E-2</v>
      </c>
      <c r="DF7" s="17" t="s">
        <v>78</v>
      </c>
      <c r="DG7" s="17" t="s">
        <v>78</v>
      </c>
      <c r="DH7" s="69" t="s">
        <v>78</v>
      </c>
      <c r="DI7" s="69" t="s">
        <v>78</v>
      </c>
      <c r="DJ7" s="17" t="s">
        <v>78</v>
      </c>
      <c r="DK7" s="17" t="s">
        <v>78</v>
      </c>
      <c r="DL7" s="17" t="s">
        <v>78</v>
      </c>
      <c r="DM7" s="17" t="s">
        <v>78</v>
      </c>
      <c r="DN7" s="17">
        <v>2.9000000000000001E-2</v>
      </c>
      <c r="DO7" s="17" t="s">
        <v>78</v>
      </c>
      <c r="DP7" s="52" t="s">
        <v>78</v>
      </c>
      <c r="DQ7" s="8"/>
      <c r="DR7" s="8"/>
      <c r="DS7" s="8"/>
      <c r="DT7" s="8"/>
      <c r="DU7" s="8"/>
      <c r="DV7" s="8"/>
      <c r="DW7" s="8"/>
      <c r="DX7" s="8"/>
      <c r="DY7" s="8"/>
      <c r="DZ7" s="8"/>
      <c r="EA7" s="8"/>
      <c r="EB7" s="8"/>
    </row>
    <row r="8" spans="2:132" ht="15" customHeight="1" x14ac:dyDescent="0.35">
      <c r="B8" s="42"/>
      <c r="C8" s="282"/>
      <c r="D8" s="9">
        <v>30609904</v>
      </c>
      <c r="E8" s="139" t="s">
        <v>48</v>
      </c>
      <c r="F8" s="54" t="s">
        <v>421</v>
      </c>
      <c r="G8" s="314" t="s">
        <v>146</v>
      </c>
      <c r="H8" s="542" t="s">
        <v>457</v>
      </c>
      <c r="I8" s="69" t="s">
        <v>78</v>
      </c>
      <c r="J8" s="69" t="s">
        <v>78</v>
      </c>
      <c r="K8" s="17">
        <v>2.0000000000000001E-4</v>
      </c>
      <c r="L8" s="69">
        <v>4.4000000000000003E-3</v>
      </c>
      <c r="M8" s="238">
        <v>1.2E-5</v>
      </c>
      <c r="N8" s="17">
        <v>1.1000000000000001E-3</v>
      </c>
      <c r="O8" s="138">
        <f t="shared" ref="O8:O11" si="0">20%*P8</f>
        <v>2.8000000000000003E-4</v>
      </c>
      <c r="P8" s="69">
        <v>1.4E-3</v>
      </c>
      <c r="Q8" s="439">
        <v>8.3999999999999995E-5</v>
      </c>
      <c r="R8" s="17">
        <v>8.4999999999999995E-4</v>
      </c>
      <c r="S8" s="17">
        <v>5.0000000000000001E-4</v>
      </c>
      <c r="T8" s="17">
        <v>3.8000000000000002E-4</v>
      </c>
      <c r="U8" s="17">
        <v>2.5999999999999998E-4</v>
      </c>
      <c r="V8" s="69">
        <v>1.1000000000000001E-3</v>
      </c>
      <c r="W8" s="17">
        <v>2.0999999999999999E-3</v>
      </c>
      <c r="X8" s="69" t="s">
        <v>78</v>
      </c>
      <c r="Y8" s="238">
        <v>2.4000000000000001E-5</v>
      </c>
      <c r="Z8" s="17" t="s">
        <v>78</v>
      </c>
      <c r="AA8" s="17" t="s">
        <v>78</v>
      </c>
      <c r="AB8" s="17">
        <v>2.3E-3</v>
      </c>
      <c r="AC8" s="77">
        <v>2.9000000000000001E-2</v>
      </c>
      <c r="AD8" s="151" t="s">
        <v>78</v>
      </c>
      <c r="AE8" s="69" t="s">
        <v>78</v>
      </c>
      <c r="AF8" s="17">
        <v>4.2999999999999997E-2</v>
      </c>
      <c r="AG8" s="69" t="s">
        <v>78</v>
      </c>
      <c r="AH8" s="92">
        <v>0.01</v>
      </c>
      <c r="AI8" s="17" t="s">
        <v>78</v>
      </c>
      <c r="AJ8" s="17" t="s">
        <v>78</v>
      </c>
      <c r="AK8" s="69" t="s">
        <v>78</v>
      </c>
      <c r="AL8" s="17" t="s">
        <v>78</v>
      </c>
      <c r="AM8" s="17">
        <v>0.159</v>
      </c>
      <c r="AN8" s="17" t="s">
        <v>78</v>
      </c>
      <c r="AO8" s="17" t="s">
        <v>78</v>
      </c>
      <c r="AP8" s="69" t="s">
        <v>78</v>
      </c>
      <c r="AQ8" s="69" t="s">
        <v>78</v>
      </c>
      <c r="AR8" s="17" t="s">
        <v>78</v>
      </c>
      <c r="AS8" s="17" t="s">
        <v>78</v>
      </c>
      <c r="AT8" s="17" t="s">
        <v>78</v>
      </c>
      <c r="AU8" s="17" t="s">
        <v>78</v>
      </c>
      <c r="AV8" s="17" t="s">
        <v>78</v>
      </c>
      <c r="AW8" s="17" t="s">
        <v>78</v>
      </c>
      <c r="AX8" s="17" t="s">
        <v>78</v>
      </c>
      <c r="AY8" s="17" t="s">
        <v>78</v>
      </c>
      <c r="AZ8" s="69" t="s">
        <v>78</v>
      </c>
      <c r="BA8" s="17" t="s">
        <v>78</v>
      </c>
      <c r="BB8" s="17" t="s">
        <v>78</v>
      </c>
      <c r="BC8" s="69" t="s">
        <v>78</v>
      </c>
      <c r="BD8" s="69" t="s">
        <v>78</v>
      </c>
      <c r="BE8" s="17" t="s">
        <v>78</v>
      </c>
      <c r="BF8" s="17" t="s">
        <v>78</v>
      </c>
      <c r="BG8" s="17">
        <v>1.444</v>
      </c>
      <c r="BH8" s="17" t="s">
        <v>78</v>
      </c>
      <c r="BI8" s="17" t="s">
        <v>78</v>
      </c>
      <c r="BJ8" s="17" t="s">
        <v>78</v>
      </c>
      <c r="BK8" s="69" t="s">
        <v>78</v>
      </c>
      <c r="BL8" s="69" t="s">
        <v>78</v>
      </c>
      <c r="BM8" s="17">
        <v>1.169</v>
      </c>
      <c r="BN8" s="17" t="s">
        <v>78</v>
      </c>
      <c r="BO8" s="17" t="s">
        <v>78</v>
      </c>
      <c r="BP8" s="17" t="s">
        <v>78</v>
      </c>
      <c r="BQ8" s="17" t="s">
        <v>78</v>
      </c>
      <c r="BR8" s="17" t="s">
        <v>78</v>
      </c>
      <c r="BS8" s="17" t="s">
        <v>78</v>
      </c>
      <c r="BT8" s="17" t="s">
        <v>78</v>
      </c>
      <c r="BU8" s="17" t="s">
        <v>78</v>
      </c>
      <c r="BV8" s="17" t="s">
        <v>78</v>
      </c>
      <c r="BW8" s="17" t="s">
        <v>78</v>
      </c>
      <c r="BX8" s="17">
        <v>2.9000000000000001E-2</v>
      </c>
      <c r="BY8" s="17" t="s">
        <v>78</v>
      </c>
      <c r="BZ8" s="17" t="s">
        <v>78</v>
      </c>
      <c r="CA8" s="17" t="s">
        <v>78</v>
      </c>
      <c r="CB8" s="17" t="s">
        <v>78</v>
      </c>
      <c r="CC8" s="17" t="s">
        <v>78</v>
      </c>
      <c r="CD8" s="17" t="s">
        <v>78</v>
      </c>
      <c r="CE8" s="69" t="s">
        <v>78</v>
      </c>
      <c r="CF8" s="17" t="s">
        <v>78</v>
      </c>
      <c r="CG8" s="17" t="s">
        <v>78</v>
      </c>
      <c r="CH8" s="17" t="s">
        <v>78</v>
      </c>
      <c r="CI8" s="17" t="s">
        <v>78</v>
      </c>
      <c r="CJ8" s="69" t="s">
        <v>78</v>
      </c>
      <c r="CK8" s="17">
        <v>1.0999999999999999E-2</v>
      </c>
      <c r="CL8" s="17" t="s">
        <v>78</v>
      </c>
      <c r="CM8" s="17" t="s">
        <v>78</v>
      </c>
      <c r="CN8" s="17">
        <v>3.0000000000000001E-3</v>
      </c>
      <c r="CO8" s="17" t="s">
        <v>78</v>
      </c>
      <c r="CP8" s="17" t="s">
        <v>78</v>
      </c>
      <c r="CQ8" s="17" t="s">
        <v>78</v>
      </c>
      <c r="CR8" s="17" t="s">
        <v>78</v>
      </c>
      <c r="CS8" s="69" t="s">
        <v>78</v>
      </c>
      <c r="CT8" s="69" t="s">
        <v>78</v>
      </c>
      <c r="CU8" s="17" t="s">
        <v>78</v>
      </c>
      <c r="CV8" s="69" t="s">
        <v>78</v>
      </c>
      <c r="CW8" s="92">
        <v>2.44</v>
      </c>
      <c r="CX8" s="17" t="s">
        <v>78</v>
      </c>
      <c r="CY8" s="69" t="s">
        <v>78</v>
      </c>
      <c r="CZ8" s="69" t="s">
        <v>78</v>
      </c>
      <c r="DA8" s="17" t="s">
        <v>78</v>
      </c>
      <c r="DB8" s="17" t="s">
        <v>78</v>
      </c>
      <c r="DC8" s="17" t="s">
        <v>78</v>
      </c>
      <c r="DD8" s="17" t="s">
        <v>78</v>
      </c>
      <c r="DE8" s="17">
        <v>5.8000000000000003E-2</v>
      </c>
      <c r="DF8" s="17" t="s">
        <v>78</v>
      </c>
      <c r="DG8" s="17" t="s">
        <v>78</v>
      </c>
      <c r="DH8" s="69" t="s">
        <v>78</v>
      </c>
      <c r="DI8" s="69" t="s">
        <v>78</v>
      </c>
      <c r="DJ8" s="17" t="s">
        <v>78</v>
      </c>
      <c r="DK8" s="17" t="s">
        <v>78</v>
      </c>
      <c r="DL8" s="17" t="s">
        <v>78</v>
      </c>
      <c r="DM8" s="17" t="s">
        <v>78</v>
      </c>
      <c r="DN8" s="17">
        <v>2.9000000000000001E-2</v>
      </c>
      <c r="DO8" s="17" t="s">
        <v>78</v>
      </c>
      <c r="DP8" s="52" t="s">
        <v>78</v>
      </c>
      <c r="DQ8" s="8"/>
      <c r="DR8" s="8"/>
      <c r="DS8" s="8"/>
      <c r="DT8" s="8"/>
      <c r="DU8" s="8"/>
      <c r="DV8" s="8"/>
      <c r="DW8" s="8"/>
      <c r="DX8" s="8"/>
      <c r="DY8" s="8"/>
      <c r="DZ8" s="8"/>
      <c r="EA8" s="8"/>
      <c r="EB8" s="8"/>
    </row>
    <row r="9" spans="2:132" ht="15.75" customHeight="1" x14ac:dyDescent="0.35">
      <c r="B9" s="42"/>
      <c r="C9" s="282"/>
      <c r="D9" s="9">
        <v>31000160</v>
      </c>
      <c r="E9" s="139" t="s">
        <v>182</v>
      </c>
      <c r="F9" s="54" t="s">
        <v>421</v>
      </c>
      <c r="G9" s="314" t="s">
        <v>146</v>
      </c>
      <c r="H9" s="542" t="s">
        <v>457</v>
      </c>
      <c r="I9" s="69" t="s">
        <v>78</v>
      </c>
      <c r="J9" s="69" t="s">
        <v>78</v>
      </c>
      <c r="K9" s="17">
        <v>2.0000000000000001E-4</v>
      </c>
      <c r="L9" s="69">
        <v>4.4000000000000003E-3</v>
      </c>
      <c r="M9" s="238">
        <v>1.2E-5</v>
      </c>
      <c r="N9" s="17">
        <v>1.1000000000000001E-3</v>
      </c>
      <c r="O9" s="138">
        <f t="shared" si="0"/>
        <v>2.8000000000000003E-4</v>
      </c>
      <c r="P9" s="69">
        <v>1.4E-3</v>
      </c>
      <c r="Q9" s="439">
        <v>8.3999999999999995E-5</v>
      </c>
      <c r="R9" s="17">
        <v>8.4999999999999995E-4</v>
      </c>
      <c r="S9" s="17">
        <v>5.0000000000000001E-4</v>
      </c>
      <c r="T9" s="17">
        <v>3.8000000000000002E-4</v>
      </c>
      <c r="U9" s="17">
        <v>2.5999999999999998E-4</v>
      </c>
      <c r="V9" s="69">
        <v>1.1000000000000001E-3</v>
      </c>
      <c r="W9" s="17">
        <v>2.0999999999999999E-3</v>
      </c>
      <c r="X9" s="69" t="s">
        <v>78</v>
      </c>
      <c r="Y9" s="238">
        <v>2.4000000000000001E-5</v>
      </c>
      <c r="Z9" s="17" t="s">
        <v>78</v>
      </c>
      <c r="AA9" s="17" t="s">
        <v>78</v>
      </c>
      <c r="AB9" s="17">
        <v>2.3E-3</v>
      </c>
      <c r="AC9" s="77">
        <v>2.9000000000000001E-2</v>
      </c>
      <c r="AD9" s="151" t="s">
        <v>78</v>
      </c>
      <c r="AE9" s="69" t="s">
        <v>78</v>
      </c>
      <c r="AF9" s="17">
        <v>4.2999999999999997E-2</v>
      </c>
      <c r="AG9" s="69" t="s">
        <v>78</v>
      </c>
      <c r="AH9" s="92">
        <v>0.01</v>
      </c>
      <c r="AI9" s="17" t="s">
        <v>78</v>
      </c>
      <c r="AJ9" s="17" t="s">
        <v>78</v>
      </c>
      <c r="AK9" s="69" t="s">
        <v>78</v>
      </c>
      <c r="AL9" s="17" t="s">
        <v>78</v>
      </c>
      <c r="AM9" s="17">
        <v>0.159</v>
      </c>
      <c r="AN9" s="17" t="s">
        <v>78</v>
      </c>
      <c r="AO9" s="17" t="s">
        <v>78</v>
      </c>
      <c r="AP9" s="69" t="s">
        <v>78</v>
      </c>
      <c r="AQ9" s="69" t="s">
        <v>78</v>
      </c>
      <c r="AR9" s="17" t="s">
        <v>78</v>
      </c>
      <c r="AS9" s="17" t="s">
        <v>78</v>
      </c>
      <c r="AT9" s="17" t="s">
        <v>78</v>
      </c>
      <c r="AU9" s="17" t="s">
        <v>78</v>
      </c>
      <c r="AV9" s="17" t="s">
        <v>78</v>
      </c>
      <c r="AW9" s="17" t="s">
        <v>78</v>
      </c>
      <c r="AX9" s="17" t="s">
        <v>78</v>
      </c>
      <c r="AY9" s="17" t="s">
        <v>78</v>
      </c>
      <c r="AZ9" s="69" t="s">
        <v>78</v>
      </c>
      <c r="BA9" s="17" t="s">
        <v>78</v>
      </c>
      <c r="BB9" s="17" t="s">
        <v>78</v>
      </c>
      <c r="BC9" s="69" t="s">
        <v>78</v>
      </c>
      <c r="BD9" s="69" t="s">
        <v>78</v>
      </c>
      <c r="BE9" s="17" t="s">
        <v>78</v>
      </c>
      <c r="BF9" s="17" t="s">
        <v>78</v>
      </c>
      <c r="BG9" s="17">
        <v>1.444</v>
      </c>
      <c r="BH9" s="17" t="s">
        <v>78</v>
      </c>
      <c r="BI9" s="17" t="s">
        <v>78</v>
      </c>
      <c r="BJ9" s="17" t="s">
        <v>78</v>
      </c>
      <c r="BK9" s="69" t="s">
        <v>78</v>
      </c>
      <c r="BL9" s="69" t="s">
        <v>78</v>
      </c>
      <c r="BM9" s="17">
        <v>1.169</v>
      </c>
      <c r="BN9" s="17" t="s">
        <v>78</v>
      </c>
      <c r="BO9" s="17" t="s">
        <v>78</v>
      </c>
      <c r="BP9" s="17" t="s">
        <v>78</v>
      </c>
      <c r="BQ9" s="17" t="s">
        <v>78</v>
      </c>
      <c r="BR9" s="17" t="s">
        <v>78</v>
      </c>
      <c r="BS9" s="17" t="s">
        <v>78</v>
      </c>
      <c r="BT9" s="17" t="s">
        <v>78</v>
      </c>
      <c r="BU9" s="17" t="s">
        <v>78</v>
      </c>
      <c r="BV9" s="17" t="s">
        <v>78</v>
      </c>
      <c r="BW9" s="17" t="s">
        <v>78</v>
      </c>
      <c r="BX9" s="17">
        <v>2.9000000000000001E-2</v>
      </c>
      <c r="BY9" s="17" t="s">
        <v>78</v>
      </c>
      <c r="BZ9" s="17" t="s">
        <v>78</v>
      </c>
      <c r="CA9" s="17" t="s">
        <v>78</v>
      </c>
      <c r="CB9" s="17" t="s">
        <v>78</v>
      </c>
      <c r="CC9" s="17" t="s">
        <v>78</v>
      </c>
      <c r="CD9" s="17" t="s">
        <v>78</v>
      </c>
      <c r="CE9" s="69" t="s">
        <v>78</v>
      </c>
      <c r="CF9" s="17" t="s">
        <v>78</v>
      </c>
      <c r="CG9" s="17" t="s">
        <v>78</v>
      </c>
      <c r="CH9" s="17" t="s">
        <v>78</v>
      </c>
      <c r="CI9" s="17" t="s">
        <v>78</v>
      </c>
      <c r="CJ9" s="69" t="s">
        <v>78</v>
      </c>
      <c r="CK9" s="17">
        <v>1.0999999999999999E-2</v>
      </c>
      <c r="CL9" s="17" t="s">
        <v>78</v>
      </c>
      <c r="CM9" s="17" t="s">
        <v>78</v>
      </c>
      <c r="CN9" s="17">
        <v>3.0000000000000001E-3</v>
      </c>
      <c r="CO9" s="17" t="s">
        <v>78</v>
      </c>
      <c r="CP9" s="17" t="s">
        <v>78</v>
      </c>
      <c r="CQ9" s="17" t="s">
        <v>78</v>
      </c>
      <c r="CR9" s="17" t="s">
        <v>78</v>
      </c>
      <c r="CS9" s="69" t="s">
        <v>78</v>
      </c>
      <c r="CT9" s="69" t="s">
        <v>78</v>
      </c>
      <c r="CU9" s="17" t="s">
        <v>78</v>
      </c>
      <c r="CV9" s="69" t="s">
        <v>78</v>
      </c>
      <c r="CW9" s="92">
        <v>2.44</v>
      </c>
      <c r="CX9" s="17" t="s">
        <v>78</v>
      </c>
      <c r="CY9" s="69" t="s">
        <v>78</v>
      </c>
      <c r="CZ9" s="69" t="s">
        <v>78</v>
      </c>
      <c r="DA9" s="17" t="s">
        <v>78</v>
      </c>
      <c r="DB9" s="17" t="s">
        <v>78</v>
      </c>
      <c r="DC9" s="17" t="s">
        <v>78</v>
      </c>
      <c r="DD9" s="17" t="s">
        <v>78</v>
      </c>
      <c r="DE9" s="17">
        <v>5.8000000000000003E-2</v>
      </c>
      <c r="DF9" s="17" t="s">
        <v>78</v>
      </c>
      <c r="DG9" s="17" t="s">
        <v>78</v>
      </c>
      <c r="DH9" s="69" t="s">
        <v>78</v>
      </c>
      <c r="DI9" s="69" t="s">
        <v>78</v>
      </c>
      <c r="DJ9" s="17" t="s">
        <v>78</v>
      </c>
      <c r="DK9" s="17" t="s">
        <v>78</v>
      </c>
      <c r="DL9" s="17" t="s">
        <v>78</v>
      </c>
      <c r="DM9" s="17" t="s">
        <v>78</v>
      </c>
      <c r="DN9" s="17">
        <v>2.9000000000000001E-2</v>
      </c>
      <c r="DO9" s="17" t="s">
        <v>78</v>
      </c>
      <c r="DP9" s="52" t="s">
        <v>78</v>
      </c>
      <c r="DQ9" s="8"/>
      <c r="DR9" s="8"/>
      <c r="DS9" s="8"/>
      <c r="DT9" s="8"/>
      <c r="DU9" s="8"/>
      <c r="DV9" s="8"/>
      <c r="DW9" s="8"/>
      <c r="DX9" s="8"/>
      <c r="DY9" s="8"/>
      <c r="DZ9" s="8"/>
      <c r="EA9" s="8"/>
      <c r="EB9" s="8"/>
    </row>
    <row r="10" spans="2:132" ht="16.5" x14ac:dyDescent="0.35">
      <c r="B10" s="42"/>
      <c r="C10" s="282"/>
      <c r="D10" s="9">
        <v>31000205</v>
      </c>
      <c r="E10" s="139" t="s">
        <v>49</v>
      </c>
      <c r="F10" s="54" t="s">
        <v>421</v>
      </c>
      <c r="G10" s="314" t="s">
        <v>146</v>
      </c>
      <c r="H10" s="542" t="s">
        <v>457</v>
      </c>
      <c r="I10" s="69" t="s">
        <v>78</v>
      </c>
      <c r="J10" s="69" t="s">
        <v>78</v>
      </c>
      <c r="K10" s="17">
        <v>2.0000000000000001E-4</v>
      </c>
      <c r="L10" s="69">
        <v>4.4000000000000003E-3</v>
      </c>
      <c r="M10" s="238">
        <v>1.2E-5</v>
      </c>
      <c r="N10" s="17">
        <v>1.1000000000000001E-3</v>
      </c>
      <c r="O10" s="138">
        <f t="shared" si="0"/>
        <v>2.8000000000000003E-4</v>
      </c>
      <c r="P10" s="69">
        <v>1.4E-3</v>
      </c>
      <c r="Q10" s="439">
        <v>8.3999999999999995E-5</v>
      </c>
      <c r="R10" s="17">
        <v>8.4999999999999995E-4</v>
      </c>
      <c r="S10" s="17">
        <v>5.0000000000000001E-4</v>
      </c>
      <c r="T10" s="17">
        <v>3.8000000000000002E-4</v>
      </c>
      <c r="U10" s="17">
        <v>2.5999999999999998E-4</v>
      </c>
      <c r="V10" s="69">
        <v>1.1000000000000001E-3</v>
      </c>
      <c r="W10" s="17">
        <v>2.0999999999999999E-3</v>
      </c>
      <c r="X10" s="69" t="s">
        <v>78</v>
      </c>
      <c r="Y10" s="238">
        <v>2.4000000000000001E-5</v>
      </c>
      <c r="Z10" s="17" t="s">
        <v>78</v>
      </c>
      <c r="AA10" s="17" t="s">
        <v>78</v>
      </c>
      <c r="AB10" s="17">
        <v>2.3E-3</v>
      </c>
      <c r="AC10" s="77">
        <v>2.9000000000000001E-2</v>
      </c>
      <c r="AD10" s="151" t="s">
        <v>78</v>
      </c>
      <c r="AE10" s="69" t="s">
        <v>78</v>
      </c>
      <c r="AF10" s="17">
        <v>4.2999999999999997E-2</v>
      </c>
      <c r="AG10" s="69" t="s">
        <v>78</v>
      </c>
      <c r="AH10" s="92">
        <v>0.01</v>
      </c>
      <c r="AI10" s="17" t="s">
        <v>78</v>
      </c>
      <c r="AJ10" s="17" t="s">
        <v>78</v>
      </c>
      <c r="AK10" s="69" t="s">
        <v>78</v>
      </c>
      <c r="AL10" s="17" t="s">
        <v>78</v>
      </c>
      <c r="AM10" s="17">
        <v>0.159</v>
      </c>
      <c r="AN10" s="17" t="s">
        <v>78</v>
      </c>
      <c r="AO10" s="17" t="s">
        <v>78</v>
      </c>
      <c r="AP10" s="69" t="s">
        <v>78</v>
      </c>
      <c r="AQ10" s="69" t="s">
        <v>78</v>
      </c>
      <c r="AR10" s="17" t="s">
        <v>78</v>
      </c>
      <c r="AS10" s="17" t="s">
        <v>78</v>
      </c>
      <c r="AT10" s="17" t="s">
        <v>78</v>
      </c>
      <c r="AU10" s="17" t="s">
        <v>78</v>
      </c>
      <c r="AV10" s="17" t="s">
        <v>78</v>
      </c>
      <c r="AW10" s="17" t="s">
        <v>78</v>
      </c>
      <c r="AX10" s="17" t="s">
        <v>78</v>
      </c>
      <c r="AY10" s="17" t="s">
        <v>78</v>
      </c>
      <c r="AZ10" s="69" t="s">
        <v>78</v>
      </c>
      <c r="BA10" s="17" t="s">
        <v>78</v>
      </c>
      <c r="BB10" s="17" t="s">
        <v>78</v>
      </c>
      <c r="BC10" s="69" t="s">
        <v>78</v>
      </c>
      <c r="BD10" s="69" t="s">
        <v>78</v>
      </c>
      <c r="BE10" s="17" t="s">
        <v>78</v>
      </c>
      <c r="BF10" s="17" t="s">
        <v>78</v>
      </c>
      <c r="BG10" s="17">
        <v>1.444</v>
      </c>
      <c r="BH10" s="17" t="s">
        <v>78</v>
      </c>
      <c r="BI10" s="17" t="s">
        <v>78</v>
      </c>
      <c r="BJ10" s="17" t="s">
        <v>78</v>
      </c>
      <c r="BK10" s="69" t="s">
        <v>78</v>
      </c>
      <c r="BL10" s="69" t="s">
        <v>78</v>
      </c>
      <c r="BM10" s="17">
        <v>1.169</v>
      </c>
      <c r="BN10" s="17" t="s">
        <v>78</v>
      </c>
      <c r="BO10" s="17" t="s">
        <v>78</v>
      </c>
      <c r="BP10" s="17" t="s">
        <v>78</v>
      </c>
      <c r="BQ10" s="17" t="s">
        <v>78</v>
      </c>
      <c r="BR10" s="17" t="s">
        <v>78</v>
      </c>
      <c r="BS10" s="17" t="s">
        <v>78</v>
      </c>
      <c r="BT10" s="17" t="s">
        <v>78</v>
      </c>
      <c r="BU10" s="17" t="s">
        <v>78</v>
      </c>
      <c r="BV10" s="17" t="s">
        <v>78</v>
      </c>
      <c r="BW10" s="17" t="s">
        <v>78</v>
      </c>
      <c r="BX10" s="17">
        <v>2.9000000000000001E-2</v>
      </c>
      <c r="BY10" s="17" t="s">
        <v>78</v>
      </c>
      <c r="BZ10" s="17" t="s">
        <v>78</v>
      </c>
      <c r="CA10" s="17" t="s">
        <v>78</v>
      </c>
      <c r="CB10" s="17" t="s">
        <v>78</v>
      </c>
      <c r="CC10" s="17" t="s">
        <v>78</v>
      </c>
      <c r="CD10" s="17" t="s">
        <v>78</v>
      </c>
      <c r="CE10" s="69" t="s">
        <v>78</v>
      </c>
      <c r="CF10" s="17" t="s">
        <v>78</v>
      </c>
      <c r="CG10" s="17" t="s">
        <v>78</v>
      </c>
      <c r="CH10" s="17" t="s">
        <v>78</v>
      </c>
      <c r="CI10" s="17" t="s">
        <v>78</v>
      </c>
      <c r="CJ10" s="69" t="s">
        <v>78</v>
      </c>
      <c r="CK10" s="17">
        <v>1.0999999999999999E-2</v>
      </c>
      <c r="CL10" s="17" t="s">
        <v>78</v>
      </c>
      <c r="CM10" s="17" t="s">
        <v>78</v>
      </c>
      <c r="CN10" s="17">
        <v>3.0000000000000001E-3</v>
      </c>
      <c r="CO10" s="17" t="s">
        <v>78</v>
      </c>
      <c r="CP10" s="17" t="s">
        <v>78</v>
      </c>
      <c r="CQ10" s="17" t="s">
        <v>78</v>
      </c>
      <c r="CR10" s="17" t="s">
        <v>78</v>
      </c>
      <c r="CS10" s="69" t="s">
        <v>78</v>
      </c>
      <c r="CT10" s="69" t="s">
        <v>78</v>
      </c>
      <c r="CU10" s="17" t="s">
        <v>78</v>
      </c>
      <c r="CV10" s="69" t="s">
        <v>78</v>
      </c>
      <c r="CW10" s="92">
        <v>2.44</v>
      </c>
      <c r="CX10" s="17" t="s">
        <v>78</v>
      </c>
      <c r="CY10" s="69" t="s">
        <v>78</v>
      </c>
      <c r="CZ10" s="69" t="s">
        <v>78</v>
      </c>
      <c r="DA10" s="17" t="s">
        <v>78</v>
      </c>
      <c r="DB10" s="17" t="s">
        <v>78</v>
      </c>
      <c r="DC10" s="17" t="s">
        <v>78</v>
      </c>
      <c r="DD10" s="17" t="s">
        <v>78</v>
      </c>
      <c r="DE10" s="17">
        <v>5.8000000000000003E-2</v>
      </c>
      <c r="DF10" s="17" t="s">
        <v>78</v>
      </c>
      <c r="DG10" s="17" t="s">
        <v>78</v>
      </c>
      <c r="DH10" s="69" t="s">
        <v>78</v>
      </c>
      <c r="DI10" s="69" t="s">
        <v>78</v>
      </c>
      <c r="DJ10" s="17" t="s">
        <v>78</v>
      </c>
      <c r="DK10" s="17" t="s">
        <v>78</v>
      </c>
      <c r="DL10" s="17" t="s">
        <v>78</v>
      </c>
      <c r="DM10" s="17" t="s">
        <v>78</v>
      </c>
      <c r="DN10" s="17">
        <v>2.9000000000000001E-2</v>
      </c>
      <c r="DO10" s="17" t="s">
        <v>78</v>
      </c>
      <c r="DP10" s="52" t="s">
        <v>78</v>
      </c>
      <c r="DQ10" s="8"/>
      <c r="DR10" s="8"/>
      <c r="DS10" s="8"/>
      <c r="DT10" s="8"/>
      <c r="DU10" s="8"/>
      <c r="DV10" s="8"/>
      <c r="DW10" s="8"/>
      <c r="DX10" s="8"/>
      <c r="DY10" s="8"/>
      <c r="DZ10" s="8"/>
      <c r="EA10" s="8"/>
      <c r="EB10" s="8"/>
    </row>
    <row r="11" spans="2:132" ht="16.5" x14ac:dyDescent="0.35">
      <c r="B11" s="42"/>
      <c r="C11" s="282"/>
      <c r="D11" s="9">
        <v>39990024</v>
      </c>
      <c r="E11" s="139" t="s">
        <v>50</v>
      </c>
      <c r="F11" s="54" t="s">
        <v>421</v>
      </c>
      <c r="G11" s="314" t="s">
        <v>146</v>
      </c>
      <c r="H11" s="542" t="s">
        <v>457</v>
      </c>
      <c r="I11" s="69" t="s">
        <v>78</v>
      </c>
      <c r="J11" s="69" t="s">
        <v>78</v>
      </c>
      <c r="K11" s="17">
        <v>2.0000000000000001E-4</v>
      </c>
      <c r="L11" s="69">
        <v>4.4000000000000003E-3</v>
      </c>
      <c r="M11" s="238">
        <v>1.2E-5</v>
      </c>
      <c r="N11" s="17">
        <v>1.1000000000000001E-3</v>
      </c>
      <c r="O11" s="138">
        <f t="shared" si="0"/>
        <v>2.8000000000000003E-4</v>
      </c>
      <c r="P11" s="69">
        <v>1.4E-3</v>
      </c>
      <c r="Q11" s="439">
        <v>8.3999999999999995E-5</v>
      </c>
      <c r="R11" s="17">
        <v>8.4999999999999995E-4</v>
      </c>
      <c r="S11" s="17">
        <v>5.0000000000000001E-4</v>
      </c>
      <c r="T11" s="17">
        <v>3.8000000000000002E-4</v>
      </c>
      <c r="U11" s="17">
        <v>2.5999999999999998E-4</v>
      </c>
      <c r="V11" s="69">
        <v>1.1000000000000001E-3</v>
      </c>
      <c r="W11" s="17">
        <v>2.0999999999999999E-3</v>
      </c>
      <c r="X11" s="69" t="s">
        <v>78</v>
      </c>
      <c r="Y11" s="238">
        <v>2.4000000000000001E-5</v>
      </c>
      <c r="Z11" s="17" t="s">
        <v>78</v>
      </c>
      <c r="AA11" s="17" t="s">
        <v>78</v>
      </c>
      <c r="AB11" s="17">
        <v>2.3E-3</v>
      </c>
      <c r="AC11" s="77">
        <v>2.9000000000000001E-2</v>
      </c>
      <c r="AD11" s="151" t="s">
        <v>78</v>
      </c>
      <c r="AE11" s="69" t="s">
        <v>78</v>
      </c>
      <c r="AF11" s="17">
        <v>4.2999999999999997E-2</v>
      </c>
      <c r="AG11" s="69" t="s">
        <v>78</v>
      </c>
      <c r="AH11" s="92">
        <v>0.01</v>
      </c>
      <c r="AI11" s="17" t="s">
        <v>78</v>
      </c>
      <c r="AJ11" s="17" t="s">
        <v>78</v>
      </c>
      <c r="AK11" s="69" t="s">
        <v>78</v>
      </c>
      <c r="AL11" s="17" t="s">
        <v>78</v>
      </c>
      <c r="AM11" s="17">
        <v>0.159</v>
      </c>
      <c r="AN11" s="17" t="s">
        <v>78</v>
      </c>
      <c r="AO11" s="17" t="s">
        <v>78</v>
      </c>
      <c r="AP11" s="69" t="s">
        <v>78</v>
      </c>
      <c r="AQ11" s="69" t="s">
        <v>78</v>
      </c>
      <c r="AR11" s="17" t="s">
        <v>78</v>
      </c>
      <c r="AS11" s="17" t="s">
        <v>78</v>
      </c>
      <c r="AT11" s="17" t="s">
        <v>78</v>
      </c>
      <c r="AU11" s="17" t="s">
        <v>78</v>
      </c>
      <c r="AV11" s="17" t="s">
        <v>78</v>
      </c>
      <c r="AW11" s="17" t="s">
        <v>78</v>
      </c>
      <c r="AX11" s="17" t="s">
        <v>78</v>
      </c>
      <c r="AY11" s="17" t="s">
        <v>78</v>
      </c>
      <c r="AZ11" s="69" t="s">
        <v>78</v>
      </c>
      <c r="BA11" s="17" t="s">
        <v>78</v>
      </c>
      <c r="BB11" s="17" t="s">
        <v>78</v>
      </c>
      <c r="BC11" s="69" t="s">
        <v>78</v>
      </c>
      <c r="BD11" s="69" t="s">
        <v>78</v>
      </c>
      <c r="BE11" s="17" t="s">
        <v>78</v>
      </c>
      <c r="BF11" s="17" t="s">
        <v>78</v>
      </c>
      <c r="BG11" s="17">
        <v>1.444</v>
      </c>
      <c r="BH11" s="17" t="s">
        <v>78</v>
      </c>
      <c r="BI11" s="17" t="s">
        <v>78</v>
      </c>
      <c r="BJ11" s="17" t="s">
        <v>78</v>
      </c>
      <c r="BK11" s="69" t="s">
        <v>78</v>
      </c>
      <c r="BL11" s="69" t="s">
        <v>78</v>
      </c>
      <c r="BM11" s="17">
        <v>1.169</v>
      </c>
      <c r="BN11" s="17" t="s">
        <v>78</v>
      </c>
      <c r="BO11" s="17" t="s">
        <v>78</v>
      </c>
      <c r="BP11" s="17" t="s">
        <v>78</v>
      </c>
      <c r="BQ11" s="17" t="s">
        <v>78</v>
      </c>
      <c r="BR11" s="17" t="s">
        <v>78</v>
      </c>
      <c r="BS11" s="17" t="s">
        <v>78</v>
      </c>
      <c r="BT11" s="17" t="s">
        <v>78</v>
      </c>
      <c r="BU11" s="17" t="s">
        <v>78</v>
      </c>
      <c r="BV11" s="17" t="s">
        <v>78</v>
      </c>
      <c r="BW11" s="17" t="s">
        <v>78</v>
      </c>
      <c r="BX11" s="17">
        <v>2.9000000000000001E-2</v>
      </c>
      <c r="BY11" s="17" t="s">
        <v>78</v>
      </c>
      <c r="BZ11" s="17" t="s">
        <v>78</v>
      </c>
      <c r="CA11" s="17" t="s">
        <v>78</v>
      </c>
      <c r="CB11" s="17" t="s">
        <v>78</v>
      </c>
      <c r="CC11" s="17" t="s">
        <v>78</v>
      </c>
      <c r="CD11" s="17" t="s">
        <v>78</v>
      </c>
      <c r="CE11" s="69" t="s">
        <v>78</v>
      </c>
      <c r="CF11" s="17" t="s">
        <v>78</v>
      </c>
      <c r="CG11" s="17" t="s">
        <v>78</v>
      </c>
      <c r="CH11" s="17" t="s">
        <v>78</v>
      </c>
      <c r="CI11" s="17" t="s">
        <v>78</v>
      </c>
      <c r="CJ11" s="69" t="s">
        <v>78</v>
      </c>
      <c r="CK11" s="17">
        <v>1.0999999999999999E-2</v>
      </c>
      <c r="CL11" s="17" t="s">
        <v>78</v>
      </c>
      <c r="CM11" s="17" t="s">
        <v>78</v>
      </c>
      <c r="CN11" s="17">
        <v>3.0000000000000001E-3</v>
      </c>
      <c r="CO11" s="17" t="s">
        <v>78</v>
      </c>
      <c r="CP11" s="17" t="s">
        <v>78</v>
      </c>
      <c r="CQ11" s="17" t="s">
        <v>78</v>
      </c>
      <c r="CR11" s="17" t="s">
        <v>78</v>
      </c>
      <c r="CS11" s="69" t="s">
        <v>78</v>
      </c>
      <c r="CT11" s="69" t="s">
        <v>78</v>
      </c>
      <c r="CU11" s="17" t="s">
        <v>78</v>
      </c>
      <c r="CV11" s="69" t="s">
        <v>78</v>
      </c>
      <c r="CW11" s="92">
        <v>2.44</v>
      </c>
      <c r="CX11" s="17" t="s">
        <v>78</v>
      </c>
      <c r="CY11" s="69" t="s">
        <v>78</v>
      </c>
      <c r="CZ11" s="69" t="s">
        <v>78</v>
      </c>
      <c r="DA11" s="17" t="s">
        <v>78</v>
      </c>
      <c r="DB11" s="17" t="s">
        <v>78</v>
      </c>
      <c r="DC11" s="17" t="s">
        <v>78</v>
      </c>
      <c r="DD11" s="17" t="s">
        <v>78</v>
      </c>
      <c r="DE11" s="17">
        <v>5.8000000000000003E-2</v>
      </c>
      <c r="DF11" s="17" t="s">
        <v>78</v>
      </c>
      <c r="DG11" s="17" t="s">
        <v>78</v>
      </c>
      <c r="DH11" s="69" t="s">
        <v>78</v>
      </c>
      <c r="DI11" s="69" t="s">
        <v>78</v>
      </c>
      <c r="DJ11" s="17" t="s">
        <v>78</v>
      </c>
      <c r="DK11" s="17" t="s">
        <v>78</v>
      </c>
      <c r="DL11" s="17" t="s">
        <v>78</v>
      </c>
      <c r="DM11" s="17" t="s">
        <v>78</v>
      </c>
      <c r="DN11" s="17">
        <v>2.9000000000000001E-2</v>
      </c>
      <c r="DO11" s="17" t="s">
        <v>78</v>
      </c>
      <c r="DP11" s="52" t="s">
        <v>78</v>
      </c>
      <c r="DQ11" s="8"/>
      <c r="DR11" s="8"/>
      <c r="DS11" s="8"/>
      <c r="DT11" s="8"/>
      <c r="DU11" s="8"/>
      <c r="DV11" s="8"/>
      <c r="DW11" s="8"/>
      <c r="DX11" s="8"/>
      <c r="DY11" s="8"/>
      <c r="DZ11" s="8"/>
      <c r="EA11" s="8"/>
      <c r="EB11" s="8"/>
    </row>
    <row r="12" spans="2:132" ht="15" thickBot="1" x14ac:dyDescent="0.4">
      <c r="B12" s="10"/>
      <c r="C12" s="357"/>
      <c r="D12" s="11"/>
      <c r="E12" s="145"/>
      <c r="F12" s="89"/>
      <c r="G12" s="56"/>
      <c r="H12" s="529"/>
      <c r="I12" s="99"/>
      <c r="J12" s="99"/>
      <c r="K12" s="53"/>
      <c r="L12" s="99"/>
      <c r="M12" s="254"/>
      <c r="N12" s="53"/>
      <c r="O12" s="53"/>
      <c r="P12" s="99"/>
      <c r="Q12" s="324"/>
      <c r="R12" s="53"/>
      <c r="S12" s="53"/>
      <c r="T12" s="53"/>
      <c r="U12" s="53"/>
      <c r="V12" s="99"/>
      <c r="W12" s="53"/>
      <c r="X12" s="99"/>
      <c r="Y12" s="254"/>
      <c r="Z12" s="53"/>
      <c r="AA12" s="53"/>
      <c r="AB12" s="53"/>
      <c r="AC12" s="109"/>
      <c r="AD12" s="152"/>
      <c r="AE12" s="99"/>
      <c r="AF12" s="53"/>
      <c r="AG12" s="99"/>
      <c r="AH12" s="53"/>
      <c r="AI12" s="53"/>
      <c r="AJ12" s="53"/>
      <c r="AK12" s="99"/>
      <c r="AL12" s="53"/>
      <c r="AM12" s="53"/>
      <c r="AN12" s="53"/>
      <c r="AO12" s="53"/>
      <c r="AP12" s="99"/>
      <c r="AQ12" s="99"/>
      <c r="AR12" s="53"/>
      <c r="AS12" s="53"/>
      <c r="AT12" s="53"/>
      <c r="AU12" s="53"/>
      <c r="AV12" s="53"/>
      <c r="AW12" s="53"/>
      <c r="AX12" s="53"/>
      <c r="AY12" s="53"/>
      <c r="AZ12" s="99"/>
      <c r="BA12" s="53"/>
      <c r="BB12" s="53"/>
      <c r="BC12" s="99"/>
      <c r="BD12" s="99"/>
      <c r="BE12" s="53"/>
      <c r="BF12" s="53"/>
      <c r="BG12" s="53"/>
      <c r="BH12" s="53"/>
      <c r="BI12" s="53"/>
      <c r="BJ12" s="53"/>
      <c r="BK12" s="99"/>
      <c r="BL12" s="99"/>
      <c r="BM12" s="53"/>
      <c r="BN12" s="53"/>
      <c r="BO12" s="53"/>
      <c r="BP12" s="53"/>
      <c r="BQ12" s="53"/>
      <c r="BR12" s="53"/>
      <c r="BS12" s="53"/>
      <c r="BT12" s="53"/>
      <c r="BU12" s="53"/>
      <c r="BV12" s="53"/>
      <c r="BW12" s="53"/>
      <c r="BX12" s="53"/>
      <c r="BY12" s="53"/>
      <c r="BZ12" s="53"/>
      <c r="CA12" s="53"/>
      <c r="CB12" s="53"/>
      <c r="CC12" s="53"/>
      <c r="CD12" s="53"/>
      <c r="CE12" s="99"/>
      <c r="CF12" s="53"/>
      <c r="CG12" s="53"/>
      <c r="CH12" s="53"/>
      <c r="CI12" s="53"/>
      <c r="CJ12" s="99"/>
      <c r="CK12" s="53"/>
      <c r="CL12" s="53"/>
      <c r="CM12" s="53"/>
      <c r="CN12" s="53"/>
      <c r="CO12" s="53"/>
      <c r="CP12" s="53"/>
      <c r="CQ12" s="53"/>
      <c r="CR12" s="53"/>
      <c r="CS12" s="99"/>
      <c r="CT12" s="99"/>
      <c r="CU12" s="53"/>
      <c r="CV12" s="99"/>
      <c r="CW12" s="53"/>
      <c r="CX12" s="53"/>
      <c r="CY12" s="99"/>
      <c r="CZ12" s="99"/>
      <c r="DA12" s="53"/>
      <c r="DB12" s="53"/>
      <c r="DC12" s="53"/>
      <c r="DD12" s="53"/>
      <c r="DE12" s="53"/>
      <c r="DF12" s="53"/>
      <c r="DG12" s="53"/>
      <c r="DH12" s="99"/>
      <c r="DI12" s="99"/>
      <c r="DJ12" s="53"/>
      <c r="DK12" s="53"/>
      <c r="DL12" s="53"/>
      <c r="DM12" s="53"/>
      <c r="DN12" s="53"/>
      <c r="DO12" s="53"/>
      <c r="DP12" s="319"/>
      <c r="DQ12" s="8"/>
      <c r="DR12" s="8"/>
      <c r="DS12" s="8"/>
      <c r="DT12" s="8"/>
      <c r="DU12" s="8"/>
      <c r="DV12" s="8"/>
      <c r="DW12" s="8"/>
      <c r="DX12" s="8"/>
      <c r="DY12" s="8"/>
      <c r="DZ12" s="8"/>
      <c r="EA12" s="8"/>
      <c r="EB12" s="8"/>
    </row>
    <row r="13" spans="2:132" x14ac:dyDescent="0.35">
      <c r="B13" s="117"/>
      <c r="C13" s="402" t="s">
        <v>338</v>
      </c>
      <c r="D13" s="403"/>
      <c r="E13" s="404"/>
      <c r="F13" s="83"/>
      <c r="G13" s="20"/>
      <c r="H13" s="532"/>
      <c r="I13" s="71"/>
      <c r="J13" s="71"/>
      <c r="K13" s="51"/>
      <c r="L13" s="68"/>
      <c r="M13" s="51"/>
      <c r="N13" s="51"/>
      <c r="O13" s="51"/>
      <c r="P13" s="68"/>
      <c r="Q13" s="438"/>
      <c r="R13" s="51"/>
      <c r="S13" s="51"/>
      <c r="T13" s="51"/>
      <c r="U13" s="51"/>
      <c r="V13" s="68"/>
      <c r="W13" s="51"/>
      <c r="X13" s="68"/>
      <c r="Y13" s="51"/>
      <c r="Z13" s="51"/>
      <c r="AA13" s="51"/>
      <c r="AB13" s="51"/>
      <c r="AC13" s="73"/>
      <c r="AD13" s="150"/>
      <c r="AE13" s="71"/>
      <c r="AF13" s="19"/>
      <c r="AG13" s="71"/>
      <c r="AH13" s="19"/>
      <c r="AI13" s="19"/>
      <c r="AJ13" s="19"/>
      <c r="AK13" s="71"/>
      <c r="AL13" s="19"/>
      <c r="AM13" s="19"/>
      <c r="AN13" s="19"/>
      <c r="AO13" s="19"/>
      <c r="AP13" s="71"/>
      <c r="AQ13" s="71"/>
      <c r="AR13" s="19"/>
      <c r="AS13" s="19"/>
      <c r="AT13" s="19"/>
      <c r="AU13" s="19"/>
      <c r="AV13" s="19"/>
      <c r="AW13" s="19"/>
      <c r="AX13" s="19"/>
      <c r="AY13" s="19"/>
      <c r="AZ13" s="71"/>
      <c r="BA13" s="19"/>
      <c r="BB13" s="19"/>
      <c r="BC13" s="71"/>
      <c r="BD13" s="71"/>
      <c r="BE13" s="19"/>
      <c r="BF13" s="19"/>
      <c r="BG13" s="19"/>
      <c r="BH13" s="19"/>
      <c r="BI13" s="19"/>
      <c r="BJ13" s="19"/>
      <c r="BK13" s="71"/>
      <c r="BL13" s="71"/>
      <c r="BM13" s="19"/>
      <c r="BN13" s="19"/>
      <c r="BO13" s="19"/>
      <c r="BP13" s="19"/>
      <c r="BQ13" s="19"/>
      <c r="BR13" s="19"/>
      <c r="BS13" s="19"/>
      <c r="BT13" s="19"/>
      <c r="BU13" s="19"/>
      <c r="BV13" s="19"/>
      <c r="BW13" s="19"/>
      <c r="BX13" s="19"/>
      <c r="BY13" s="19"/>
      <c r="BZ13" s="19"/>
      <c r="CA13" s="19"/>
      <c r="CB13" s="19"/>
      <c r="CC13" s="19"/>
      <c r="CD13" s="19"/>
      <c r="CE13" s="71"/>
      <c r="CF13" s="19"/>
      <c r="CG13" s="19"/>
      <c r="CH13" s="19"/>
      <c r="CI13" s="19"/>
      <c r="CJ13" s="71"/>
      <c r="CK13" s="19"/>
      <c r="CL13" s="19"/>
      <c r="CM13" s="19"/>
      <c r="CN13" s="51"/>
      <c r="CO13" s="51"/>
      <c r="CP13" s="51"/>
      <c r="CQ13" s="51"/>
      <c r="CR13" s="19"/>
      <c r="CS13" s="71"/>
      <c r="CT13" s="71"/>
      <c r="CU13" s="19"/>
      <c r="CV13" s="71"/>
      <c r="CW13" s="19"/>
      <c r="CX13" s="19"/>
      <c r="CY13" s="71"/>
      <c r="CZ13" s="71"/>
      <c r="DA13" s="19"/>
      <c r="DB13" s="19"/>
      <c r="DC13" s="19"/>
      <c r="DD13" s="19"/>
      <c r="DE13" s="19"/>
      <c r="DF13" s="19"/>
      <c r="DG13" s="19"/>
      <c r="DH13" s="71"/>
      <c r="DI13" s="71"/>
      <c r="DJ13" s="19"/>
      <c r="DK13" s="19"/>
      <c r="DL13" s="19"/>
      <c r="DM13" s="19"/>
      <c r="DN13" s="19"/>
      <c r="DO13" s="19"/>
      <c r="DP13" s="20"/>
      <c r="DQ13" s="8"/>
      <c r="DR13" s="8"/>
      <c r="DS13" s="8"/>
      <c r="DT13" s="8"/>
      <c r="DU13" s="8"/>
      <c r="DV13" s="8"/>
      <c r="DW13" s="8"/>
      <c r="DX13" s="8"/>
      <c r="DY13" s="8"/>
      <c r="DZ13" s="8"/>
      <c r="EA13" s="8"/>
      <c r="EB13" s="8"/>
    </row>
    <row r="14" spans="2:132" ht="16.5" x14ac:dyDescent="0.35">
      <c r="B14" s="14"/>
      <c r="D14" s="32"/>
      <c r="E14" s="141" t="s">
        <v>339</v>
      </c>
      <c r="F14" s="54" t="s">
        <v>422</v>
      </c>
      <c r="G14" s="314" t="s">
        <v>145</v>
      </c>
      <c r="H14" s="542" t="s">
        <v>457</v>
      </c>
      <c r="I14" s="69" t="s">
        <v>78</v>
      </c>
      <c r="J14" s="69" t="s">
        <v>78</v>
      </c>
      <c r="K14" s="95">
        <f>K17*(1/1020)*(1/10^6)*(91500)*1000</f>
        <v>1.7941176470588237E-5</v>
      </c>
      <c r="L14" s="115">
        <f>L17*(1/1020)*(1/10^6)*(91500)*1000</f>
        <v>3.9470588235294122E-4</v>
      </c>
      <c r="M14" s="95">
        <f t="shared" ref="M14:BX14" si="1">M17*(1/1020)*(1/10^6)*(91500)*1000</f>
        <v>1.0764705882352939E-6</v>
      </c>
      <c r="N14" s="95">
        <f t="shared" si="1"/>
        <v>9.8676470588235306E-5</v>
      </c>
      <c r="O14" s="138" t="s">
        <v>78</v>
      </c>
      <c r="P14" s="115">
        <f t="shared" si="1"/>
        <v>1.2558823529411765E-4</v>
      </c>
      <c r="Q14" s="380">
        <f t="shared" si="1"/>
        <v>7.535294117647058E-6</v>
      </c>
      <c r="R14" s="95">
        <f t="shared" si="1"/>
        <v>7.6249999999999983E-5</v>
      </c>
      <c r="S14" s="95">
        <f t="shared" si="1"/>
        <v>4.4852941176470584E-5</v>
      </c>
      <c r="T14" s="95">
        <f t="shared" si="1"/>
        <v>3.4088235294117648E-5</v>
      </c>
      <c r="U14" s="95">
        <f t="shared" si="1"/>
        <v>2.3323529411764702E-5</v>
      </c>
      <c r="V14" s="135">
        <f t="shared" si="1"/>
        <v>9.8676470588235306E-5</v>
      </c>
      <c r="W14" s="17">
        <f t="shared" si="1"/>
        <v>1.8838235294117646E-4</v>
      </c>
      <c r="X14" s="69" t="s">
        <v>78</v>
      </c>
      <c r="Y14" s="95">
        <f t="shared" si="1"/>
        <v>2.1529411764705878E-6</v>
      </c>
      <c r="Z14" s="17" t="s">
        <v>78</v>
      </c>
      <c r="AA14" s="17" t="s">
        <v>78</v>
      </c>
      <c r="AB14" s="183">
        <f t="shared" si="1"/>
        <v>2.0632352941176468E-4</v>
      </c>
      <c r="AC14" s="242">
        <f t="shared" si="1"/>
        <v>2.6014705882352941E-3</v>
      </c>
      <c r="AD14" s="151" t="s">
        <v>78</v>
      </c>
      <c r="AE14" s="69" t="s">
        <v>78</v>
      </c>
      <c r="AF14" s="23">
        <f t="shared" si="1"/>
        <v>3.8573529411764702E-3</v>
      </c>
      <c r="AG14" s="69" t="s">
        <v>78</v>
      </c>
      <c r="AH14" s="183">
        <f t="shared" si="1"/>
        <v>8.9705882352941182E-4</v>
      </c>
      <c r="AI14" s="17" t="s">
        <v>78</v>
      </c>
      <c r="AJ14" s="17" t="s">
        <v>78</v>
      </c>
      <c r="AK14" s="69" t="s">
        <v>78</v>
      </c>
      <c r="AL14" s="17" t="s">
        <v>78</v>
      </c>
      <c r="AM14" s="60">
        <f t="shared" si="1"/>
        <v>1.4263235294117649E-2</v>
      </c>
      <c r="AN14" s="17" t="s">
        <v>78</v>
      </c>
      <c r="AO14" s="17" t="s">
        <v>78</v>
      </c>
      <c r="AP14" s="69" t="s">
        <v>78</v>
      </c>
      <c r="AQ14" s="69" t="s">
        <v>78</v>
      </c>
      <c r="AR14" s="17" t="s">
        <v>78</v>
      </c>
      <c r="AS14" s="17" t="s">
        <v>78</v>
      </c>
      <c r="AT14" s="17" t="s">
        <v>78</v>
      </c>
      <c r="AU14" s="17" t="s">
        <v>78</v>
      </c>
      <c r="AV14" s="17" t="s">
        <v>78</v>
      </c>
      <c r="AW14" s="17" t="s">
        <v>78</v>
      </c>
      <c r="AX14" s="17" t="s">
        <v>78</v>
      </c>
      <c r="AY14" s="17" t="s">
        <v>78</v>
      </c>
      <c r="AZ14" s="69" t="s">
        <v>78</v>
      </c>
      <c r="BA14" s="17" t="s">
        <v>78</v>
      </c>
      <c r="BB14" s="17" t="s">
        <v>78</v>
      </c>
      <c r="BC14" s="69" t="s">
        <v>78</v>
      </c>
      <c r="BD14" s="69" t="s">
        <v>78</v>
      </c>
      <c r="BE14" s="17" t="s">
        <v>78</v>
      </c>
      <c r="BF14" s="17" t="s">
        <v>78</v>
      </c>
      <c r="BG14" s="92">
        <f t="shared" si="1"/>
        <v>0.12953529411764703</v>
      </c>
      <c r="BH14" s="17" t="s">
        <v>78</v>
      </c>
      <c r="BI14" s="17" t="s">
        <v>78</v>
      </c>
      <c r="BJ14" s="17" t="s">
        <v>78</v>
      </c>
      <c r="BK14" s="69" t="s">
        <v>78</v>
      </c>
      <c r="BL14" s="69" t="s">
        <v>78</v>
      </c>
      <c r="BM14" s="92">
        <f t="shared" si="1"/>
        <v>0.10486617647058823</v>
      </c>
      <c r="BN14" s="17" t="s">
        <v>78</v>
      </c>
      <c r="BO14" s="17" t="s">
        <v>78</v>
      </c>
      <c r="BP14" s="17" t="s">
        <v>78</v>
      </c>
      <c r="BQ14" s="17" t="s">
        <v>78</v>
      </c>
      <c r="BR14" s="17" t="s">
        <v>78</v>
      </c>
      <c r="BS14" s="17" t="s">
        <v>78</v>
      </c>
      <c r="BT14" s="17" t="s">
        <v>78</v>
      </c>
      <c r="BU14" s="17" t="s">
        <v>78</v>
      </c>
      <c r="BV14" s="17" t="s">
        <v>78</v>
      </c>
      <c r="BW14" s="17" t="s">
        <v>78</v>
      </c>
      <c r="BX14" s="23">
        <f t="shared" si="1"/>
        <v>2.6014705882352941E-3</v>
      </c>
      <c r="BY14" s="17" t="s">
        <v>78</v>
      </c>
      <c r="BZ14" s="17" t="s">
        <v>78</v>
      </c>
      <c r="CA14" s="17" t="s">
        <v>78</v>
      </c>
      <c r="CB14" s="17" t="s">
        <v>78</v>
      </c>
      <c r="CC14" s="17" t="s">
        <v>78</v>
      </c>
      <c r="CD14" s="17" t="s">
        <v>78</v>
      </c>
      <c r="CE14" s="69" t="s">
        <v>78</v>
      </c>
      <c r="CF14" s="17" t="s">
        <v>78</v>
      </c>
      <c r="CG14" s="17" t="s">
        <v>78</v>
      </c>
      <c r="CH14" s="17" t="s">
        <v>78</v>
      </c>
      <c r="CI14" s="17" t="s">
        <v>78</v>
      </c>
      <c r="CJ14" s="69" t="s">
        <v>78</v>
      </c>
      <c r="CK14" s="183">
        <f t="shared" ref="CK14:DN14" si="2">CK17*(1/1020)*(1/10^6)*(91500)*1000</f>
        <v>9.86764705882353E-4</v>
      </c>
      <c r="CL14" s="17" t="s">
        <v>78</v>
      </c>
      <c r="CM14" s="17" t="s">
        <v>78</v>
      </c>
      <c r="CN14" s="183">
        <f t="shared" si="2"/>
        <v>2.6911764705882355E-4</v>
      </c>
      <c r="CO14" s="17" t="s">
        <v>78</v>
      </c>
      <c r="CP14" s="17" t="s">
        <v>78</v>
      </c>
      <c r="CQ14" s="17" t="s">
        <v>78</v>
      </c>
      <c r="CR14" s="17" t="s">
        <v>78</v>
      </c>
      <c r="CS14" s="69" t="s">
        <v>78</v>
      </c>
      <c r="CT14" s="69" t="s">
        <v>78</v>
      </c>
      <c r="CU14" s="17" t="s">
        <v>78</v>
      </c>
      <c r="CV14" s="69" t="s">
        <v>78</v>
      </c>
      <c r="CW14" s="92">
        <f t="shared" si="2"/>
        <v>0.21888235294117647</v>
      </c>
      <c r="CX14" s="17" t="s">
        <v>78</v>
      </c>
      <c r="CY14" s="69" t="s">
        <v>78</v>
      </c>
      <c r="CZ14" s="69" t="s">
        <v>78</v>
      </c>
      <c r="DA14" s="17" t="s">
        <v>78</v>
      </c>
      <c r="DB14" s="17" t="s">
        <v>78</v>
      </c>
      <c r="DC14" s="17" t="s">
        <v>78</v>
      </c>
      <c r="DD14" s="17" t="s">
        <v>78</v>
      </c>
      <c r="DE14" s="23">
        <f t="shared" si="2"/>
        <v>5.2029411764705881E-3</v>
      </c>
      <c r="DF14" s="17" t="s">
        <v>78</v>
      </c>
      <c r="DG14" s="17" t="s">
        <v>78</v>
      </c>
      <c r="DH14" s="69" t="s">
        <v>78</v>
      </c>
      <c r="DI14" s="69" t="s">
        <v>78</v>
      </c>
      <c r="DJ14" s="17" t="s">
        <v>78</v>
      </c>
      <c r="DK14" s="17" t="s">
        <v>78</v>
      </c>
      <c r="DL14" s="17" t="s">
        <v>78</v>
      </c>
      <c r="DM14" s="17" t="s">
        <v>78</v>
      </c>
      <c r="DN14" s="23">
        <f t="shared" si="2"/>
        <v>2.6014705882352941E-3</v>
      </c>
      <c r="DO14" s="17" t="s">
        <v>78</v>
      </c>
      <c r="DP14" s="52" t="s">
        <v>78</v>
      </c>
      <c r="DQ14" s="8"/>
      <c r="DR14" s="8"/>
      <c r="DS14" s="8"/>
      <c r="DT14" s="8"/>
      <c r="DU14" s="8"/>
      <c r="DV14" s="8"/>
      <c r="DW14" s="8"/>
      <c r="DX14" s="8"/>
      <c r="DY14" s="8"/>
      <c r="DZ14" s="8"/>
      <c r="EA14" s="8"/>
      <c r="EB14" s="8"/>
    </row>
    <row r="15" spans="2:132" ht="15" thickBot="1" x14ac:dyDescent="0.4">
      <c r="B15" s="10"/>
      <c r="C15" s="405"/>
      <c r="D15" s="325"/>
      <c r="E15" s="145"/>
      <c r="F15" s="80"/>
      <c r="G15" s="56"/>
      <c r="H15" s="529"/>
      <c r="I15" s="70"/>
      <c r="J15" s="70"/>
      <c r="K15" s="3"/>
      <c r="L15" s="70"/>
      <c r="M15" s="268"/>
      <c r="N15" s="3"/>
      <c r="O15" s="3"/>
      <c r="P15" s="70"/>
      <c r="Q15" s="325"/>
      <c r="R15" s="3"/>
      <c r="S15" s="3"/>
      <c r="T15" s="3"/>
      <c r="U15" s="3"/>
      <c r="V15" s="70"/>
      <c r="W15" s="3"/>
      <c r="X15" s="70"/>
      <c r="Y15" s="3"/>
      <c r="Z15" s="3"/>
      <c r="AA15" s="3"/>
      <c r="AB15" s="3"/>
      <c r="AC15" s="75"/>
      <c r="AD15" s="152"/>
      <c r="AE15" s="70"/>
      <c r="AF15" s="3"/>
      <c r="AG15" s="70"/>
      <c r="AH15" s="3"/>
      <c r="AI15" s="3"/>
      <c r="AJ15" s="3"/>
      <c r="AK15" s="70"/>
      <c r="AL15" s="3"/>
      <c r="AM15" s="3"/>
      <c r="AN15" s="3"/>
      <c r="AO15" s="3"/>
      <c r="AP15" s="70"/>
      <c r="AQ15" s="70"/>
      <c r="AR15" s="3"/>
      <c r="AS15" s="3"/>
      <c r="AT15" s="3"/>
      <c r="AU15" s="3"/>
      <c r="AV15" s="3"/>
      <c r="AW15" s="3"/>
      <c r="AX15" s="3"/>
      <c r="AY15" s="3"/>
      <c r="AZ15" s="70"/>
      <c r="BA15" s="3"/>
      <c r="BB15" s="3"/>
      <c r="BC15" s="70"/>
      <c r="BD15" s="70"/>
      <c r="BE15" s="3"/>
      <c r="BF15" s="3"/>
      <c r="BG15" s="3"/>
      <c r="BH15" s="3"/>
      <c r="BI15" s="3"/>
      <c r="BJ15" s="3"/>
      <c r="BK15" s="70"/>
      <c r="BL15" s="70"/>
      <c r="BM15" s="3"/>
      <c r="BN15" s="3"/>
      <c r="BO15" s="3"/>
      <c r="BP15" s="3"/>
      <c r="BQ15" s="3"/>
      <c r="BR15" s="3"/>
      <c r="BS15" s="3"/>
      <c r="BT15" s="3"/>
      <c r="BU15" s="3"/>
      <c r="BV15" s="3"/>
      <c r="BW15" s="3"/>
      <c r="BX15" s="3"/>
      <c r="BY15" s="3"/>
      <c r="BZ15" s="3"/>
      <c r="CA15" s="3"/>
      <c r="CB15" s="3"/>
      <c r="CC15" s="3"/>
      <c r="CD15" s="3"/>
      <c r="CE15" s="70"/>
      <c r="CF15" s="3"/>
      <c r="CG15" s="3"/>
      <c r="CH15" s="3"/>
      <c r="CI15" s="3"/>
      <c r="CJ15" s="70"/>
      <c r="CK15" s="3"/>
      <c r="CL15" s="3"/>
      <c r="CM15" s="3"/>
      <c r="CN15" s="3"/>
      <c r="CO15" s="3"/>
      <c r="CP15" s="3"/>
      <c r="CQ15" s="3"/>
      <c r="CR15" s="3"/>
      <c r="CS15" s="70"/>
      <c r="CT15" s="70"/>
      <c r="CU15" s="3"/>
      <c r="CV15" s="70"/>
      <c r="CW15" s="3"/>
      <c r="CX15" s="3"/>
      <c r="CY15" s="70"/>
      <c r="CZ15" s="70"/>
      <c r="DA15" s="3"/>
      <c r="DB15" s="3"/>
      <c r="DC15" s="3"/>
      <c r="DD15" s="3"/>
      <c r="DE15" s="3"/>
      <c r="DF15" s="3"/>
      <c r="DG15" s="3"/>
      <c r="DH15" s="70"/>
      <c r="DI15" s="70"/>
      <c r="DJ15" s="3"/>
      <c r="DK15" s="3"/>
      <c r="DL15" s="3"/>
      <c r="DM15" s="3"/>
      <c r="DN15" s="3"/>
      <c r="DO15" s="3"/>
      <c r="DP15" s="4"/>
      <c r="DQ15" s="8"/>
      <c r="DR15" s="8"/>
      <c r="DS15" s="8"/>
      <c r="DT15" s="8"/>
      <c r="DU15" s="8"/>
      <c r="DV15" s="8"/>
      <c r="DW15" s="8"/>
      <c r="DX15" s="8"/>
      <c r="DY15" s="8"/>
      <c r="DZ15" s="8"/>
      <c r="EA15" s="8"/>
      <c r="EB15" s="8"/>
    </row>
    <row r="16" spans="2:132" x14ac:dyDescent="0.35">
      <c r="B16" s="117"/>
      <c r="C16" s="280" t="s">
        <v>188</v>
      </c>
      <c r="D16" s="13"/>
      <c r="E16" s="20"/>
      <c r="F16" s="83"/>
      <c r="G16" s="55"/>
      <c r="H16" s="530"/>
      <c r="I16" s="101"/>
      <c r="J16" s="101"/>
      <c r="K16" s="57"/>
      <c r="L16" s="101"/>
      <c r="M16" s="267"/>
      <c r="N16" s="57"/>
      <c r="O16" s="57"/>
      <c r="P16" s="101"/>
      <c r="Q16" s="334"/>
      <c r="R16" s="57"/>
      <c r="S16" s="57"/>
      <c r="T16" s="57"/>
      <c r="U16" s="57"/>
      <c r="V16" s="101"/>
      <c r="W16" s="57"/>
      <c r="X16" s="101"/>
      <c r="Y16" s="267"/>
      <c r="Z16" s="57"/>
      <c r="AA16" s="57"/>
      <c r="AB16" s="57"/>
      <c r="AC16" s="110"/>
      <c r="AD16" s="153"/>
      <c r="AE16" s="101"/>
      <c r="AF16" s="57"/>
      <c r="AG16" s="101"/>
      <c r="AH16" s="57"/>
      <c r="AI16" s="146"/>
      <c r="AJ16" s="146"/>
      <c r="AK16" s="101"/>
      <c r="AL16" s="57"/>
      <c r="AM16" s="57"/>
      <c r="AN16" s="57"/>
      <c r="AO16" s="57"/>
      <c r="AP16" s="101"/>
      <c r="AQ16" s="101"/>
      <c r="AR16" s="57"/>
      <c r="AS16" s="57"/>
      <c r="AT16" s="57"/>
      <c r="AU16" s="57"/>
      <c r="AV16" s="57"/>
      <c r="AW16" s="57"/>
      <c r="AX16" s="57"/>
      <c r="AY16" s="57"/>
      <c r="AZ16" s="101"/>
      <c r="BA16" s="57"/>
      <c r="BB16" s="57"/>
      <c r="BC16" s="101"/>
      <c r="BD16" s="101"/>
      <c r="BE16" s="57"/>
      <c r="BF16" s="57"/>
      <c r="BG16" s="57"/>
      <c r="BH16" s="57"/>
      <c r="BI16" s="57"/>
      <c r="BJ16" s="57"/>
      <c r="BK16" s="101"/>
      <c r="BL16" s="101"/>
      <c r="BM16" s="57"/>
      <c r="BN16" s="57"/>
      <c r="BO16" s="57"/>
      <c r="BP16" s="57"/>
      <c r="BQ16" s="57"/>
      <c r="BR16" s="57"/>
      <c r="BS16" s="57"/>
      <c r="BT16" s="57"/>
      <c r="BU16" s="57"/>
      <c r="BV16" s="57"/>
      <c r="BW16" s="57"/>
      <c r="BX16" s="57"/>
      <c r="BY16" s="57"/>
      <c r="BZ16" s="57"/>
      <c r="CA16" s="57"/>
      <c r="CB16" s="57"/>
      <c r="CC16" s="57"/>
      <c r="CD16" s="57"/>
      <c r="CE16" s="101"/>
      <c r="CF16" s="57"/>
      <c r="CG16" s="57"/>
      <c r="CH16" s="57"/>
      <c r="CI16" s="57"/>
      <c r="CJ16" s="101"/>
      <c r="CK16" s="57"/>
      <c r="CL16" s="57"/>
      <c r="CM16" s="57"/>
      <c r="CN16" s="57"/>
      <c r="CO16" s="57"/>
      <c r="CP16" s="57"/>
      <c r="CQ16" s="57"/>
      <c r="CR16" s="57"/>
      <c r="CS16" s="101"/>
      <c r="CT16" s="101"/>
      <c r="CU16" s="57"/>
      <c r="CV16" s="101"/>
      <c r="CW16" s="57"/>
      <c r="CX16" s="57"/>
      <c r="CY16" s="101"/>
      <c r="CZ16" s="101"/>
      <c r="DA16" s="57"/>
      <c r="DB16" s="57"/>
      <c r="DC16" s="57"/>
      <c r="DD16" s="19"/>
      <c r="DE16" s="19"/>
      <c r="DF16" s="19"/>
      <c r="DG16" s="19"/>
      <c r="DH16" s="71"/>
      <c r="DI16" s="101"/>
      <c r="DJ16" s="19"/>
      <c r="DK16" s="19"/>
      <c r="DL16" s="19"/>
      <c r="DM16" s="19"/>
      <c r="DN16" s="19"/>
      <c r="DO16" s="19"/>
      <c r="DP16" s="20"/>
      <c r="DQ16" s="8"/>
      <c r="DR16" s="8"/>
      <c r="DS16" s="8"/>
      <c r="DT16" s="8"/>
      <c r="DU16" s="8"/>
      <c r="DV16" s="8"/>
      <c r="DW16" s="8"/>
      <c r="DX16" s="8"/>
      <c r="DY16" s="8"/>
      <c r="DZ16" s="8"/>
      <c r="EA16" s="8"/>
      <c r="EB16" s="8"/>
    </row>
    <row r="17" spans="2:134" ht="16.5" x14ac:dyDescent="0.35">
      <c r="B17" s="14"/>
      <c r="C17" s="8"/>
      <c r="D17" s="24">
        <v>50300789</v>
      </c>
      <c r="E17" s="139" t="s">
        <v>207</v>
      </c>
      <c r="F17" s="54" t="s">
        <v>423</v>
      </c>
      <c r="G17" s="314" t="s">
        <v>146</v>
      </c>
      <c r="H17" s="542" t="s">
        <v>457</v>
      </c>
      <c r="I17" s="69" t="s">
        <v>78</v>
      </c>
      <c r="J17" s="69" t="s">
        <v>78</v>
      </c>
      <c r="K17" s="17">
        <v>2.0000000000000001E-4</v>
      </c>
      <c r="L17" s="69">
        <v>4.4000000000000003E-3</v>
      </c>
      <c r="M17" s="238">
        <v>1.2E-5</v>
      </c>
      <c r="N17" s="17">
        <v>1.1000000000000001E-3</v>
      </c>
      <c r="O17" s="439">
        <f>4%*P17</f>
        <v>5.5999999999999999E-5</v>
      </c>
      <c r="P17" s="69">
        <v>1.4E-3</v>
      </c>
      <c r="Q17" s="439">
        <v>8.3999999999999995E-5</v>
      </c>
      <c r="R17" s="17">
        <v>8.4999999999999995E-4</v>
      </c>
      <c r="S17" s="17">
        <v>5.0000000000000001E-4</v>
      </c>
      <c r="T17" s="17">
        <v>3.8000000000000002E-4</v>
      </c>
      <c r="U17" s="17">
        <v>2.5999999999999998E-4</v>
      </c>
      <c r="V17" s="69">
        <v>1.1000000000000001E-3</v>
      </c>
      <c r="W17" s="17">
        <v>2.0999999999999999E-3</v>
      </c>
      <c r="X17" s="69" t="s">
        <v>78</v>
      </c>
      <c r="Y17" s="238">
        <v>2.4000000000000001E-5</v>
      </c>
      <c r="Z17" s="17" t="s">
        <v>78</v>
      </c>
      <c r="AA17" s="17" t="s">
        <v>78</v>
      </c>
      <c r="AB17" s="17">
        <v>2.3E-3</v>
      </c>
      <c r="AC17" s="77">
        <v>2.9000000000000001E-2</v>
      </c>
      <c r="AD17" s="151" t="s">
        <v>78</v>
      </c>
      <c r="AE17" s="69" t="s">
        <v>78</v>
      </c>
      <c r="AF17" s="17">
        <v>4.2999999999999997E-2</v>
      </c>
      <c r="AG17" s="69" t="s">
        <v>78</v>
      </c>
      <c r="AH17" s="92">
        <v>0.01</v>
      </c>
      <c r="AI17" s="17" t="s">
        <v>78</v>
      </c>
      <c r="AJ17" s="17" t="s">
        <v>78</v>
      </c>
      <c r="AK17" s="69" t="s">
        <v>78</v>
      </c>
      <c r="AL17" s="17" t="s">
        <v>78</v>
      </c>
      <c r="AM17" s="17">
        <v>0.159</v>
      </c>
      <c r="AN17" s="17" t="s">
        <v>78</v>
      </c>
      <c r="AO17" s="17" t="s">
        <v>78</v>
      </c>
      <c r="AP17" s="69" t="s">
        <v>78</v>
      </c>
      <c r="AQ17" s="69" t="s">
        <v>78</v>
      </c>
      <c r="AR17" s="17" t="s">
        <v>78</v>
      </c>
      <c r="AS17" s="17" t="s">
        <v>78</v>
      </c>
      <c r="AT17" s="17" t="s">
        <v>78</v>
      </c>
      <c r="AU17" s="17" t="s">
        <v>78</v>
      </c>
      <c r="AV17" s="17" t="s">
        <v>78</v>
      </c>
      <c r="AW17" s="17" t="s">
        <v>78</v>
      </c>
      <c r="AX17" s="17" t="s">
        <v>78</v>
      </c>
      <c r="AY17" s="17" t="s">
        <v>78</v>
      </c>
      <c r="AZ17" s="69" t="s">
        <v>78</v>
      </c>
      <c r="BA17" s="17" t="s">
        <v>78</v>
      </c>
      <c r="BB17" s="17" t="s">
        <v>78</v>
      </c>
      <c r="BC17" s="69" t="s">
        <v>78</v>
      </c>
      <c r="BD17" s="69" t="s">
        <v>78</v>
      </c>
      <c r="BE17" s="17" t="s">
        <v>78</v>
      </c>
      <c r="BF17" s="17" t="s">
        <v>78</v>
      </c>
      <c r="BG17" s="17">
        <v>1.444</v>
      </c>
      <c r="BH17" s="17" t="s">
        <v>78</v>
      </c>
      <c r="BI17" s="17" t="s">
        <v>78</v>
      </c>
      <c r="BJ17" s="17" t="s">
        <v>78</v>
      </c>
      <c r="BK17" s="69" t="s">
        <v>78</v>
      </c>
      <c r="BL17" s="69" t="s">
        <v>78</v>
      </c>
      <c r="BM17" s="17">
        <v>1.169</v>
      </c>
      <c r="BN17" s="17" t="s">
        <v>78</v>
      </c>
      <c r="BO17" s="17" t="s">
        <v>78</v>
      </c>
      <c r="BP17" s="17" t="s">
        <v>78</v>
      </c>
      <c r="BQ17" s="17" t="s">
        <v>78</v>
      </c>
      <c r="BR17" s="17" t="s">
        <v>78</v>
      </c>
      <c r="BS17" s="17" t="s">
        <v>78</v>
      </c>
      <c r="BT17" s="17" t="s">
        <v>78</v>
      </c>
      <c r="BU17" s="17" t="s">
        <v>78</v>
      </c>
      <c r="BV17" s="17" t="s">
        <v>78</v>
      </c>
      <c r="BW17" s="17" t="s">
        <v>78</v>
      </c>
      <c r="BX17" s="17">
        <v>2.9000000000000001E-2</v>
      </c>
      <c r="BY17" s="17" t="s">
        <v>78</v>
      </c>
      <c r="BZ17" s="17" t="s">
        <v>78</v>
      </c>
      <c r="CA17" s="17" t="s">
        <v>78</v>
      </c>
      <c r="CB17" s="17" t="s">
        <v>78</v>
      </c>
      <c r="CC17" s="17" t="s">
        <v>78</v>
      </c>
      <c r="CD17" s="17" t="s">
        <v>78</v>
      </c>
      <c r="CE17" s="69" t="s">
        <v>78</v>
      </c>
      <c r="CF17" s="17" t="s">
        <v>78</v>
      </c>
      <c r="CG17" s="17" t="s">
        <v>78</v>
      </c>
      <c r="CH17" s="17" t="s">
        <v>78</v>
      </c>
      <c r="CI17" s="17" t="s">
        <v>78</v>
      </c>
      <c r="CJ17" s="69" t="s">
        <v>78</v>
      </c>
      <c r="CK17" s="17">
        <v>1.0999999999999999E-2</v>
      </c>
      <c r="CL17" s="17" t="s">
        <v>78</v>
      </c>
      <c r="CM17" s="17" t="s">
        <v>78</v>
      </c>
      <c r="CN17" s="17">
        <v>3.0000000000000001E-3</v>
      </c>
      <c r="CO17" s="17" t="s">
        <v>78</v>
      </c>
      <c r="CP17" s="17" t="s">
        <v>78</v>
      </c>
      <c r="CQ17" s="17" t="s">
        <v>78</v>
      </c>
      <c r="CR17" s="17" t="s">
        <v>78</v>
      </c>
      <c r="CS17" s="69" t="s">
        <v>78</v>
      </c>
      <c r="CT17" s="69" t="s">
        <v>78</v>
      </c>
      <c r="CU17" s="17" t="s">
        <v>78</v>
      </c>
      <c r="CV17" s="69" t="s">
        <v>78</v>
      </c>
      <c r="CW17" s="92">
        <v>2.44</v>
      </c>
      <c r="CX17" s="17" t="s">
        <v>78</v>
      </c>
      <c r="CY17" s="69" t="s">
        <v>78</v>
      </c>
      <c r="CZ17" s="69" t="s">
        <v>78</v>
      </c>
      <c r="DA17" s="17" t="s">
        <v>78</v>
      </c>
      <c r="DB17" s="17" t="s">
        <v>78</v>
      </c>
      <c r="DC17" s="17" t="s">
        <v>78</v>
      </c>
      <c r="DD17" s="17" t="s">
        <v>78</v>
      </c>
      <c r="DE17" s="17">
        <v>5.8000000000000003E-2</v>
      </c>
      <c r="DF17" s="17" t="s">
        <v>78</v>
      </c>
      <c r="DG17" s="17" t="s">
        <v>78</v>
      </c>
      <c r="DH17" s="69" t="s">
        <v>78</v>
      </c>
      <c r="DI17" s="69" t="s">
        <v>78</v>
      </c>
      <c r="DJ17" s="17" t="s">
        <v>78</v>
      </c>
      <c r="DK17" s="17" t="s">
        <v>78</v>
      </c>
      <c r="DL17" s="17" t="s">
        <v>78</v>
      </c>
      <c r="DM17" s="17" t="s">
        <v>78</v>
      </c>
      <c r="DN17" s="17">
        <v>2.9000000000000001E-2</v>
      </c>
      <c r="DO17" s="17" t="s">
        <v>78</v>
      </c>
      <c r="DP17" s="52" t="s">
        <v>78</v>
      </c>
      <c r="DQ17" s="8"/>
      <c r="DR17" s="8"/>
      <c r="DS17" s="8"/>
      <c r="DT17" s="8"/>
      <c r="DU17" s="8"/>
      <c r="DV17" s="8"/>
      <c r="DW17" s="8"/>
      <c r="DX17" s="8"/>
      <c r="DY17" s="8"/>
      <c r="DZ17" s="8"/>
      <c r="EA17" s="8"/>
      <c r="EB17" s="8"/>
    </row>
    <row r="18" spans="2:134" ht="16.5" x14ac:dyDescent="0.35">
      <c r="B18" s="42"/>
      <c r="C18" s="282"/>
      <c r="D18" s="9">
        <v>30600903</v>
      </c>
      <c r="E18" s="139" t="s">
        <v>95</v>
      </c>
      <c r="F18" s="54" t="s">
        <v>423</v>
      </c>
      <c r="G18" s="314" t="s">
        <v>146</v>
      </c>
      <c r="H18" s="542" t="s">
        <v>457</v>
      </c>
      <c r="I18" s="69" t="s">
        <v>78</v>
      </c>
      <c r="J18" s="69" t="s">
        <v>78</v>
      </c>
      <c r="K18" s="17">
        <v>2.0000000000000001E-4</v>
      </c>
      <c r="L18" s="69">
        <v>4.4000000000000003E-3</v>
      </c>
      <c r="M18" s="238">
        <v>1.2E-5</v>
      </c>
      <c r="N18" s="17">
        <v>1.1000000000000001E-3</v>
      </c>
      <c r="O18" s="439">
        <f t="shared" ref="O18:O21" si="3">4%*P18</f>
        <v>5.5999999999999999E-5</v>
      </c>
      <c r="P18" s="69">
        <v>1.4E-3</v>
      </c>
      <c r="Q18" s="439">
        <v>8.3999999999999995E-5</v>
      </c>
      <c r="R18" s="17">
        <v>8.4999999999999995E-4</v>
      </c>
      <c r="S18" s="17">
        <v>5.0000000000000001E-4</v>
      </c>
      <c r="T18" s="17">
        <v>3.8000000000000002E-4</v>
      </c>
      <c r="U18" s="17">
        <v>2.5999999999999998E-4</v>
      </c>
      <c r="V18" s="69">
        <v>1.1000000000000001E-3</v>
      </c>
      <c r="W18" s="17">
        <v>2.0999999999999999E-3</v>
      </c>
      <c r="X18" s="69" t="s">
        <v>78</v>
      </c>
      <c r="Y18" s="238">
        <v>2.4000000000000001E-5</v>
      </c>
      <c r="Z18" s="17" t="s">
        <v>78</v>
      </c>
      <c r="AA18" s="17" t="s">
        <v>78</v>
      </c>
      <c r="AB18" s="17">
        <v>2.3E-3</v>
      </c>
      <c r="AC18" s="77">
        <v>2.9000000000000001E-2</v>
      </c>
      <c r="AD18" s="151" t="s">
        <v>78</v>
      </c>
      <c r="AE18" s="69" t="s">
        <v>78</v>
      </c>
      <c r="AF18" s="17">
        <v>4.2999999999999997E-2</v>
      </c>
      <c r="AG18" s="69" t="s">
        <v>78</v>
      </c>
      <c r="AH18" s="92">
        <v>0.01</v>
      </c>
      <c r="AI18" s="17" t="s">
        <v>78</v>
      </c>
      <c r="AJ18" s="17" t="s">
        <v>78</v>
      </c>
      <c r="AK18" s="69" t="s">
        <v>78</v>
      </c>
      <c r="AL18" s="17" t="s">
        <v>78</v>
      </c>
      <c r="AM18" s="17">
        <v>0.159</v>
      </c>
      <c r="AN18" s="17" t="s">
        <v>78</v>
      </c>
      <c r="AO18" s="17" t="s">
        <v>78</v>
      </c>
      <c r="AP18" s="69" t="s">
        <v>78</v>
      </c>
      <c r="AQ18" s="69" t="s">
        <v>78</v>
      </c>
      <c r="AR18" s="17" t="s">
        <v>78</v>
      </c>
      <c r="AS18" s="17" t="s">
        <v>78</v>
      </c>
      <c r="AT18" s="17" t="s">
        <v>78</v>
      </c>
      <c r="AU18" s="17" t="s">
        <v>78</v>
      </c>
      <c r="AV18" s="17" t="s">
        <v>78</v>
      </c>
      <c r="AW18" s="17" t="s">
        <v>78</v>
      </c>
      <c r="AX18" s="17" t="s">
        <v>78</v>
      </c>
      <c r="AY18" s="17" t="s">
        <v>78</v>
      </c>
      <c r="AZ18" s="69" t="s">
        <v>78</v>
      </c>
      <c r="BA18" s="17" t="s">
        <v>78</v>
      </c>
      <c r="BB18" s="17" t="s">
        <v>78</v>
      </c>
      <c r="BC18" s="69" t="s">
        <v>78</v>
      </c>
      <c r="BD18" s="69" t="s">
        <v>78</v>
      </c>
      <c r="BE18" s="17" t="s">
        <v>78</v>
      </c>
      <c r="BF18" s="17" t="s">
        <v>78</v>
      </c>
      <c r="BG18" s="17">
        <v>1.444</v>
      </c>
      <c r="BH18" s="17" t="s">
        <v>78</v>
      </c>
      <c r="BI18" s="17" t="s">
        <v>78</v>
      </c>
      <c r="BJ18" s="17" t="s">
        <v>78</v>
      </c>
      <c r="BK18" s="69" t="s">
        <v>78</v>
      </c>
      <c r="BL18" s="69" t="s">
        <v>78</v>
      </c>
      <c r="BM18" s="17">
        <v>1.169</v>
      </c>
      <c r="BN18" s="17" t="s">
        <v>78</v>
      </c>
      <c r="BO18" s="17" t="s">
        <v>78</v>
      </c>
      <c r="BP18" s="17" t="s">
        <v>78</v>
      </c>
      <c r="BQ18" s="17" t="s">
        <v>78</v>
      </c>
      <c r="BR18" s="17" t="s">
        <v>78</v>
      </c>
      <c r="BS18" s="17" t="s">
        <v>78</v>
      </c>
      <c r="BT18" s="17" t="s">
        <v>78</v>
      </c>
      <c r="BU18" s="17" t="s">
        <v>78</v>
      </c>
      <c r="BV18" s="17" t="s">
        <v>78</v>
      </c>
      <c r="BW18" s="17" t="s">
        <v>78</v>
      </c>
      <c r="BX18" s="17">
        <v>2.9000000000000001E-2</v>
      </c>
      <c r="BY18" s="17" t="s">
        <v>78</v>
      </c>
      <c r="BZ18" s="17" t="s">
        <v>78</v>
      </c>
      <c r="CA18" s="17" t="s">
        <v>78</v>
      </c>
      <c r="CB18" s="17" t="s">
        <v>78</v>
      </c>
      <c r="CC18" s="17" t="s">
        <v>78</v>
      </c>
      <c r="CD18" s="17" t="s">
        <v>78</v>
      </c>
      <c r="CE18" s="69" t="s">
        <v>78</v>
      </c>
      <c r="CF18" s="17" t="s">
        <v>78</v>
      </c>
      <c r="CG18" s="17" t="s">
        <v>78</v>
      </c>
      <c r="CH18" s="17" t="s">
        <v>78</v>
      </c>
      <c r="CI18" s="17" t="s">
        <v>78</v>
      </c>
      <c r="CJ18" s="69" t="s">
        <v>78</v>
      </c>
      <c r="CK18" s="17">
        <v>1.0999999999999999E-2</v>
      </c>
      <c r="CL18" s="17" t="s">
        <v>78</v>
      </c>
      <c r="CM18" s="17" t="s">
        <v>78</v>
      </c>
      <c r="CN18" s="17">
        <v>3.0000000000000001E-3</v>
      </c>
      <c r="CO18" s="17" t="s">
        <v>78</v>
      </c>
      <c r="CP18" s="17" t="s">
        <v>78</v>
      </c>
      <c r="CQ18" s="17" t="s">
        <v>78</v>
      </c>
      <c r="CR18" s="17" t="s">
        <v>78</v>
      </c>
      <c r="CS18" s="69" t="s">
        <v>78</v>
      </c>
      <c r="CT18" s="69" t="s">
        <v>78</v>
      </c>
      <c r="CU18" s="17" t="s">
        <v>78</v>
      </c>
      <c r="CV18" s="69" t="s">
        <v>78</v>
      </c>
      <c r="CW18" s="92">
        <v>2.44</v>
      </c>
      <c r="CX18" s="17" t="s">
        <v>78</v>
      </c>
      <c r="CY18" s="69" t="s">
        <v>78</v>
      </c>
      <c r="CZ18" s="69" t="s">
        <v>78</v>
      </c>
      <c r="DA18" s="17" t="s">
        <v>78</v>
      </c>
      <c r="DB18" s="17" t="s">
        <v>78</v>
      </c>
      <c r="DC18" s="17" t="s">
        <v>78</v>
      </c>
      <c r="DD18" s="17" t="s">
        <v>78</v>
      </c>
      <c r="DE18" s="17">
        <v>5.8000000000000003E-2</v>
      </c>
      <c r="DF18" s="17" t="s">
        <v>78</v>
      </c>
      <c r="DG18" s="17" t="s">
        <v>78</v>
      </c>
      <c r="DH18" s="69" t="s">
        <v>78</v>
      </c>
      <c r="DI18" s="69" t="s">
        <v>78</v>
      </c>
      <c r="DJ18" s="17" t="s">
        <v>78</v>
      </c>
      <c r="DK18" s="17" t="s">
        <v>78</v>
      </c>
      <c r="DL18" s="17" t="s">
        <v>78</v>
      </c>
      <c r="DM18" s="17" t="s">
        <v>78</v>
      </c>
      <c r="DN18" s="17">
        <v>2.9000000000000001E-2</v>
      </c>
      <c r="DO18" s="17" t="s">
        <v>78</v>
      </c>
      <c r="DP18" s="52" t="s">
        <v>78</v>
      </c>
      <c r="DQ18" s="8"/>
      <c r="DR18" s="8"/>
      <c r="DS18" s="8"/>
      <c r="DT18" s="8"/>
      <c r="DU18" s="8"/>
      <c r="DV18" s="8"/>
      <c r="DW18" s="8"/>
      <c r="DX18" s="8"/>
      <c r="DY18" s="8"/>
      <c r="DZ18" s="8"/>
      <c r="EA18" s="8"/>
      <c r="EB18" s="8"/>
    </row>
    <row r="19" spans="2:134" ht="16.5" x14ac:dyDescent="0.35">
      <c r="B19" s="38"/>
      <c r="C19" s="281"/>
      <c r="D19" s="9">
        <v>30609903</v>
      </c>
      <c r="E19" s="139" t="s">
        <v>96</v>
      </c>
      <c r="F19" s="54" t="s">
        <v>423</v>
      </c>
      <c r="G19" s="314" t="s">
        <v>146</v>
      </c>
      <c r="H19" s="542" t="s">
        <v>457</v>
      </c>
      <c r="I19" s="69" t="s">
        <v>78</v>
      </c>
      <c r="J19" s="69" t="s">
        <v>78</v>
      </c>
      <c r="K19" s="17">
        <v>2.0000000000000001E-4</v>
      </c>
      <c r="L19" s="69">
        <v>4.4000000000000003E-3</v>
      </c>
      <c r="M19" s="238">
        <v>1.2E-5</v>
      </c>
      <c r="N19" s="17">
        <v>1.1000000000000001E-3</v>
      </c>
      <c r="O19" s="439">
        <f t="shared" si="3"/>
        <v>5.5999999999999999E-5</v>
      </c>
      <c r="P19" s="69">
        <v>1.4E-3</v>
      </c>
      <c r="Q19" s="439">
        <v>8.3999999999999995E-5</v>
      </c>
      <c r="R19" s="17">
        <v>8.4999999999999995E-4</v>
      </c>
      <c r="S19" s="17">
        <v>5.0000000000000001E-4</v>
      </c>
      <c r="T19" s="17">
        <v>3.8000000000000002E-4</v>
      </c>
      <c r="U19" s="17">
        <v>2.5999999999999998E-4</v>
      </c>
      <c r="V19" s="69">
        <v>1.1000000000000001E-3</v>
      </c>
      <c r="W19" s="17">
        <v>2.0999999999999999E-3</v>
      </c>
      <c r="X19" s="69" t="s">
        <v>78</v>
      </c>
      <c r="Y19" s="238">
        <v>2.4000000000000001E-5</v>
      </c>
      <c r="Z19" s="17" t="s">
        <v>78</v>
      </c>
      <c r="AA19" s="17" t="s">
        <v>78</v>
      </c>
      <c r="AB19" s="17">
        <v>2.3E-3</v>
      </c>
      <c r="AC19" s="77">
        <v>2.9000000000000001E-2</v>
      </c>
      <c r="AD19" s="151" t="s">
        <v>78</v>
      </c>
      <c r="AE19" s="69" t="s">
        <v>78</v>
      </c>
      <c r="AF19" s="17">
        <v>4.2999999999999997E-2</v>
      </c>
      <c r="AG19" s="69" t="s">
        <v>78</v>
      </c>
      <c r="AH19" s="92">
        <v>0.01</v>
      </c>
      <c r="AI19" s="17" t="s">
        <v>78</v>
      </c>
      <c r="AJ19" s="17" t="s">
        <v>78</v>
      </c>
      <c r="AK19" s="69" t="s">
        <v>78</v>
      </c>
      <c r="AL19" s="17" t="s">
        <v>78</v>
      </c>
      <c r="AM19" s="17">
        <v>0.159</v>
      </c>
      <c r="AN19" s="17" t="s">
        <v>78</v>
      </c>
      <c r="AO19" s="17" t="s">
        <v>78</v>
      </c>
      <c r="AP19" s="69" t="s">
        <v>78</v>
      </c>
      <c r="AQ19" s="69" t="s">
        <v>78</v>
      </c>
      <c r="AR19" s="17" t="s">
        <v>78</v>
      </c>
      <c r="AS19" s="17" t="s">
        <v>78</v>
      </c>
      <c r="AT19" s="17" t="s">
        <v>78</v>
      </c>
      <c r="AU19" s="17" t="s">
        <v>78</v>
      </c>
      <c r="AV19" s="17" t="s">
        <v>78</v>
      </c>
      <c r="AW19" s="17" t="s">
        <v>78</v>
      </c>
      <c r="AX19" s="17" t="s">
        <v>78</v>
      </c>
      <c r="AY19" s="17" t="s">
        <v>78</v>
      </c>
      <c r="AZ19" s="69" t="s">
        <v>78</v>
      </c>
      <c r="BA19" s="17" t="s">
        <v>78</v>
      </c>
      <c r="BB19" s="17" t="s">
        <v>78</v>
      </c>
      <c r="BC19" s="69" t="s">
        <v>78</v>
      </c>
      <c r="BD19" s="69" t="s">
        <v>78</v>
      </c>
      <c r="BE19" s="17" t="s">
        <v>78</v>
      </c>
      <c r="BF19" s="17" t="s">
        <v>78</v>
      </c>
      <c r="BG19" s="17">
        <v>1.444</v>
      </c>
      <c r="BH19" s="17" t="s">
        <v>78</v>
      </c>
      <c r="BI19" s="17" t="s">
        <v>78</v>
      </c>
      <c r="BJ19" s="17" t="s">
        <v>78</v>
      </c>
      <c r="BK19" s="69" t="s">
        <v>78</v>
      </c>
      <c r="BL19" s="69" t="s">
        <v>78</v>
      </c>
      <c r="BM19" s="17">
        <v>1.169</v>
      </c>
      <c r="BN19" s="17" t="s">
        <v>78</v>
      </c>
      <c r="BO19" s="17" t="s">
        <v>78</v>
      </c>
      <c r="BP19" s="17" t="s">
        <v>78</v>
      </c>
      <c r="BQ19" s="17" t="s">
        <v>78</v>
      </c>
      <c r="BR19" s="17" t="s">
        <v>78</v>
      </c>
      <c r="BS19" s="17" t="s">
        <v>78</v>
      </c>
      <c r="BT19" s="17" t="s">
        <v>78</v>
      </c>
      <c r="BU19" s="17" t="s">
        <v>78</v>
      </c>
      <c r="BV19" s="17" t="s">
        <v>78</v>
      </c>
      <c r="BW19" s="17" t="s">
        <v>78</v>
      </c>
      <c r="BX19" s="17">
        <v>2.9000000000000001E-2</v>
      </c>
      <c r="BY19" s="17" t="s">
        <v>78</v>
      </c>
      <c r="BZ19" s="17" t="s">
        <v>78</v>
      </c>
      <c r="CA19" s="17" t="s">
        <v>78</v>
      </c>
      <c r="CB19" s="17" t="s">
        <v>78</v>
      </c>
      <c r="CC19" s="17" t="s">
        <v>78</v>
      </c>
      <c r="CD19" s="17" t="s">
        <v>78</v>
      </c>
      <c r="CE19" s="69" t="s">
        <v>78</v>
      </c>
      <c r="CF19" s="17" t="s">
        <v>78</v>
      </c>
      <c r="CG19" s="17" t="s">
        <v>78</v>
      </c>
      <c r="CH19" s="17" t="s">
        <v>78</v>
      </c>
      <c r="CI19" s="17" t="s">
        <v>78</v>
      </c>
      <c r="CJ19" s="69" t="s">
        <v>78</v>
      </c>
      <c r="CK19" s="17">
        <v>1.0999999999999999E-2</v>
      </c>
      <c r="CL19" s="17" t="s">
        <v>78</v>
      </c>
      <c r="CM19" s="17" t="s">
        <v>78</v>
      </c>
      <c r="CN19" s="17">
        <v>3.0000000000000001E-3</v>
      </c>
      <c r="CO19" s="17" t="s">
        <v>78</v>
      </c>
      <c r="CP19" s="17" t="s">
        <v>78</v>
      </c>
      <c r="CQ19" s="17" t="s">
        <v>78</v>
      </c>
      <c r="CR19" s="17" t="s">
        <v>78</v>
      </c>
      <c r="CS19" s="69" t="s">
        <v>78</v>
      </c>
      <c r="CT19" s="69" t="s">
        <v>78</v>
      </c>
      <c r="CU19" s="17" t="s">
        <v>78</v>
      </c>
      <c r="CV19" s="69" t="s">
        <v>78</v>
      </c>
      <c r="CW19" s="92">
        <v>2.44</v>
      </c>
      <c r="CX19" s="17" t="s">
        <v>78</v>
      </c>
      <c r="CY19" s="69" t="s">
        <v>78</v>
      </c>
      <c r="CZ19" s="69" t="s">
        <v>78</v>
      </c>
      <c r="DA19" s="17" t="s">
        <v>78</v>
      </c>
      <c r="DB19" s="17" t="s">
        <v>78</v>
      </c>
      <c r="DC19" s="17" t="s">
        <v>78</v>
      </c>
      <c r="DD19" s="17" t="s">
        <v>78</v>
      </c>
      <c r="DE19" s="17">
        <v>5.8000000000000003E-2</v>
      </c>
      <c r="DF19" s="17" t="s">
        <v>78</v>
      </c>
      <c r="DG19" s="17" t="s">
        <v>78</v>
      </c>
      <c r="DH19" s="69" t="s">
        <v>78</v>
      </c>
      <c r="DI19" s="69" t="s">
        <v>78</v>
      </c>
      <c r="DJ19" s="17" t="s">
        <v>78</v>
      </c>
      <c r="DK19" s="17" t="s">
        <v>78</v>
      </c>
      <c r="DL19" s="17" t="s">
        <v>78</v>
      </c>
      <c r="DM19" s="17" t="s">
        <v>78</v>
      </c>
      <c r="DN19" s="17">
        <v>2.9000000000000001E-2</v>
      </c>
      <c r="DO19" s="17" t="s">
        <v>78</v>
      </c>
      <c r="DP19" s="52" t="s">
        <v>78</v>
      </c>
      <c r="DQ19" s="8"/>
      <c r="DR19" s="8"/>
      <c r="DS19" s="8"/>
      <c r="DT19" s="8"/>
      <c r="DU19" s="8"/>
      <c r="DV19" s="8"/>
      <c r="DW19" s="8"/>
      <c r="DX19" s="8"/>
      <c r="DY19" s="8"/>
      <c r="DZ19" s="8"/>
      <c r="EA19" s="8"/>
      <c r="EB19" s="8"/>
    </row>
    <row r="20" spans="2:134" ht="16.5" x14ac:dyDescent="0.35">
      <c r="B20" s="42"/>
      <c r="C20" s="282"/>
      <c r="D20" s="9">
        <v>39990013</v>
      </c>
      <c r="E20" s="139" t="s">
        <v>97</v>
      </c>
      <c r="F20" s="54" t="s">
        <v>423</v>
      </c>
      <c r="G20" s="314" t="s">
        <v>146</v>
      </c>
      <c r="H20" s="542" t="s">
        <v>457</v>
      </c>
      <c r="I20" s="69" t="s">
        <v>78</v>
      </c>
      <c r="J20" s="69" t="s">
        <v>78</v>
      </c>
      <c r="K20" s="17">
        <v>2.0000000000000001E-4</v>
      </c>
      <c r="L20" s="69">
        <v>4.4000000000000003E-3</v>
      </c>
      <c r="M20" s="238">
        <v>1.2E-5</v>
      </c>
      <c r="N20" s="17">
        <v>1.1000000000000001E-3</v>
      </c>
      <c r="O20" s="439">
        <f t="shared" si="3"/>
        <v>5.5999999999999999E-5</v>
      </c>
      <c r="P20" s="69">
        <v>1.4E-3</v>
      </c>
      <c r="Q20" s="439">
        <v>8.3999999999999995E-5</v>
      </c>
      <c r="R20" s="17">
        <v>8.4999999999999995E-4</v>
      </c>
      <c r="S20" s="17">
        <v>5.0000000000000001E-4</v>
      </c>
      <c r="T20" s="17">
        <v>3.8000000000000002E-4</v>
      </c>
      <c r="U20" s="17">
        <v>2.5999999999999998E-4</v>
      </c>
      <c r="V20" s="69">
        <v>1.1000000000000001E-3</v>
      </c>
      <c r="W20" s="17">
        <v>2.0999999999999999E-3</v>
      </c>
      <c r="X20" s="69" t="s">
        <v>78</v>
      </c>
      <c r="Y20" s="238">
        <v>2.4000000000000001E-5</v>
      </c>
      <c r="Z20" s="17" t="s">
        <v>78</v>
      </c>
      <c r="AA20" s="17" t="s">
        <v>78</v>
      </c>
      <c r="AB20" s="17">
        <v>2.3E-3</v>
      </c>
      <c r="AC20" s="77">
        <v>2.9000000000000001E-2</v>
      </c>
      <c r="AD20" s="151" t="s">
        <v>78</v>
      </c>
      <c r="AE20" s="69" t="s">
        <v>78</v>
      </c>
      <c r="AF20" s="17">
        <v>4.2999999999999997E-2</v>
      </c>
      <c r="AG20" s="69" t="s">
        <v>78</v>
      </c>
      <c r="AH20" s="92">
        <v>0.01</v>
      </c>
      <c r="AI20" s="17" t="s">
        <v>78</v>
      </c>
      <c r="AJ20" s="17" t="s">
        <v>78</v>
      </c>
      <c r="AK20" s="69" t="s">
        <v>78</v>
      </c>
      <c r="AL20" s="17" t="s">
        <v>78</v>
      </c>
      <c r="AM20" s="17">
        <v>0.159</v>
      </c>
      <c r="AN20" s="17" t="s">
        <v>78</v>
      </c>
      <c r="AO20" s="17" t="s">
        <v>78</v>
      </c>
      <c r="AP20" s="69" t="s">
        <v>78</v>
      </c>
      <c r="AQ20" s="69" t="s">
        <v>78</v>
      </c>
      <c r="AR20" s="17" t="s">
        <v>78</v>
      </c>
      <c r="AS20" s="17" t="s">
        <v>78</v>
      </c>
      <c r="AT20" s="17" t="s">
        <v>78</v>
      </c>
      <c r="AU20" s="17" t="s">
        <v>78</v>
      </c>
      <c r="AV20" s="17" t="s">
        <v>78</v>
      </c>
      <c r="AW20" s="17" t="s">
        <v>78</v>
      </c>
      <c r="AX20" s="17" t="s">
        <v>78</v>
      </c>
      <c r="AY20" s="17" t="s">
        <v>78</v>
      </c>
      <c r="AZ20" s="69" t="s">
        <v>78</v>
      </c>
      <c r="BA20" s="17" t="s">
        <v>78</v>
      </c>
      <c r="BB20" s="17" t="s">
        <v>78</v>
      </c>
      <c r="BC20" s="69" t="s">
        <v>78</v>
      </c>
      <c r="BD20" s="69" t="s">
        <v>78</v>
      </c>
      <c r="BE20" s="17" t="s">
        <v>78</v>
      </c>
      <c r="BF20" s="17" t="s">
        <v>78</v>
      </c>
      <c r="BG20" s="17">
        <v>1.444</v>
      </c>
      <c r="BH20" s="17" t="s">
        <v>78</v>
      </c>
      <c r="BI20" s="17" t="s">
        <v>78</v>
      </c>
      <c r="BJ20" s="17" t="s">
        <v>78</v>
      </c>
      <c r="BK20" s="69" t="s">
        <v>78</v>
      </c>
      <c r="BL20" s="69" t="s">
        <v>78</v>
      </c>
      <c r="BM20" s="17">
        <v>1.169</v>
      </c>
      <c r="BN20" s="17" t="s">
        <v>78</v>
      </c>
      <c r="BO20" s="17" t="s">
        <v>78</v>
      </c>
      <c r="BP20" s="17" t="s">
        <v>78</v>
      </c>
      <c r="BQ20" s="17" t="s">
        <v>78</v>
      </c>
      <c r="BR20" s="17" t="s">
        <v>78</v>
      </c>
      <c r="BS20" s="17" t="s">
        <v>78</v>
      </c>
      <c r="BT20" s="17" t="s">
        <v>78</v>
      </c>
      <c r="BU20" s="17" t="s">
        <v>78</v>
      </c>
      <c r="BV20" s="17" t="s">
        <v>78</v>
      </c>
      <c r="BW20" s="17" t="s">
        <v>78</v>
      </c>
      <c r="BX20" s="17">
        <v>2.9000000000000001E-2</v>
      </c>
      <c r="BY20" s="17" t="s">
        <v>78</v>
      </c>
      <c r="BZ20" s="17" t="s">
        <v>78</v>
      </c>
      <c r="CA20" s="17" t="s">
        <v>78</v>
      </c>
      <c r="CB20" s="17" t="s">
        <v>78</v>
      </c>
      <c r="CC20" s="17" t="s">
        <v>78</v>
      </c>
      <c r="CD20" s="17" t="s">
        <v>78</v>
      </c>
      <c r="CE20" s="69" t="s">
        <v>78</v>
      </c>
      <c r="CF20" s="17" t="s">
        <v>78</v>
      </c>
      <c r="CG20" s="17" t="s">
        <v>78</v>
      </c>
      <c r="CH20" s="17" t="s">
        <v>78</v>
      </c>
      <c r="CI20" s="17" t="s">
        <v>78</v>
      </c>
      <c r="CJ20" s="69" t="s">
        <v>78</v>
      </c>
      <c r="CK20" s="17">
        <v>1.0999999999999999E-2</v>
      </c>
      <c r="CL20" s="17" t="s">
        <v>78</v>
      </c>
      <c r="CM20" s="17" t="s">
        <v>78</v>
      </c>
      <c r="CN20" s="17">
        <v>3.0000000000000001E-3</v>
      </c>
      <c r="CO20" s="17" t="s">
        <v>78</v>
      </c>
      <c r="CP20" s="17" t="s">
        <v>78</v>
      </c>
      <c r="CQ20" s="17" t="s">
        <v>78</v>
      </c>
      <c r="CR20" s="17" t="s">
        <v>78</v>
      </c>
      <c r="CS20" s="69" t="s">
        <v>78</v>
      </c>
      <c r="CT20" s="69" t="s">
        <v>78</v>
      </c>
      <c r="CU20" s="17" t="s">
        <v>78</v>
      </c>
      <c r="CV20" s="69" t="s">
        <v>78</v>
      </c>
      <c r="CW20" s="92">
        <v>2.44</v>
      </c>
      <c r="CX20" s="17" t="s">
        <v>78</v>
      </c>
      <c r="CY20" s="69" t="s">
        <v>78</v>
      </c>
      <c r="CZ20" s="69" t="s">
        <v>78</v>
      </c>
      <c r="DA20" s="17" t="s">
        <v>78</v>
      </c>
      <c r="DB20" s="17" t="s">
        <v>78</v>
      </c>
      <c r="DC20" s="17" t="s">
        <v>78</v>
      </c>
      <c r="DD20" s="17" t="s">
        <v>78</v>
      </c>
      <c r="DE20" s="17">
        <v>5.8000000000000003E-2</v>
      </c>
      <c r="DF20" s="17" t="s">
        <v>78</v>
      </c>
      <c r="DG20" s="17" t="s">
        <v>78</v>
      </c>
      <c r="DH20" s="69" t="s">
        <v>78</v>
      </c>
      <c r="DI20" s="69" t="s">
        <v>78</v>
      </c>
      <c r="DJ20" s="17" t="s">
        <v>78</v>
      </c>
      <c r="DK20" s="17" t="s">
        <v>78</v>
      </c>
      <c r="DL20" s="17" t="s">
        <v>78</v>
      </c>
      <c r="DM20" s="17" t="s">
        <v>78</v>
      </c>
      <c r="DN20" s="17">
        <v>2.9000000000000001E-2</v>
      </c>
      <c r="DO20" s="17" t="s">
        <v>78</v>
      </c>
      <c r="DP20" s="52" t="s">
        <v>78</v>
      </c>
      <c r="DQ20" s="8"/>
      <c r="DR20" s="8"/>
      <c r="DS20" s="8"/>
      <c r="DT20" s="8"/>
      <c r="DU20" s="8"/>
      <c r="DV20" s="8"/>
      <c r="DW20" s="8"/>
      <c r="DX20" s="8"/>
      <c r="DY20" s="8"/>
      <c r="DZ20" s="8"/>
      <c r="EA20" s="8"/>
      <c r="EB20" s="8"/>
    </row>
    <row r="21" spans="2:134" ht="16.5" x14ac:dyDescent="0.35">
      <c r="B21" s="42"/>
      <c r="C21" s="282"/>
      <c r="D21" s="9">
        <v>39990023</v>
      </c>
      <c r="E21" s="139" t="s">
        <v>98</v>
      </c>
      <c r="F21" s="54" t="s">
        <v>423</v>
      </c>
      <c r="G21" s="314" t="s">
        <v>146</v>
      </c>
      <c r="H21" s="542" t="s">
        <v>457</v>
      </c>
      <c r="I21" s="69" t="s">
        <v>78</v>
      </c>
      <c r="J21" s="69" t="s">
        <v>78</v>
      </c>
      <c r="K21" s="17">
        <v>2.0000000000000001E-4</v>
      </c>
      <c r="L21" s="69">
        <v>4.4000000000000003E-3</v>
      </c>
      <c r="M21" s="238">
        <v>1.2E-5</v>
      </c>
      <c r="N21" s="17">
        <v>1.1000000000000001E-3</v>
      </c>
      <c r="O21" s="439">
        <f t="shared" si="3"/>
        <v>5.5999999999999999E-5</v>
      </c>
      <c r="P21" s="69">
        <v>1.4E-3</v>
      </c>
      <c r="Q21" s="439">
        <v>8.3999999999999995E-5</v>
      </c>
      <c r="R21" s="17">
        <v>8.4999999999999995E-4</v>
      </c>
      <c r="S21" s="17">
        <v>5.0000000000000001E-4</v>
      </c>
      <c r="T21" s="17">
        <v>3.8000000000000002E-4</v>
      </c>
      <c r="U21" s="17">
        <v>2.5999999999999998E-4</v>
      </c>
      <c r="V21" s="69">
        <v>1.1000000000000001E-3</v>
      </c>
      <c r="W21" s="17">
        <v>2.0999999999999999E-3</v>
      </c>
      <c r="X21" s="69" t="s">
        <v>78</v>
      </c>
      <c r="Y21" s="238">
        <v>2.4000000000000001E-5</v>
      </c>
      <c r="Z21" s="17" t="s">
        <v>78</v>
      </c>
      <c r="AA21" s="17" t="s">
        <v>78</v>
      </c>
      <c r="AB21" s="17">
        <v>2.3E-3</v>
      </c>
      <c r="AC21" s="77">
        <v>2.9000000000000001E-2</v>
      </c>
      <c r="AD21" s="151" t="s">
        <v>78</v>
      </c>
      <c r="AE21" s="69" t="s">
        <v>78</v>
      </c>
      <c r="AF21" s="17">
        <v>4.2999999999999997E-2</v>
      </c>
      <c r="AG21" s="69" t="s">
        <v>78</v>
      </c>
      <c r="AH21" s="92">
        <v>0.01</v>
      </c>
      <c r="AI21" s="17" t="s">
        <v>78</v>
      </c>
      <c r="AJ21" s="17" t="s">
        <v>78</v>
      </c>
      <c r="AK21" s="69" t="s">
        <v>78</v>
      </c>
      <c r="AL21" s="17" t="s">
        <v>78</v>
      </c>
      <c r="AM21" s="17">
        <v>0.159</v>
      </c>
      <c r="AN21" s="17" t="s">
        <v>78</v>
      </c>
      <c r="AO21" s="17" t="s">
        <v>78</v>
      </c>
      <c r="AP21" s="69" t="s">
        <v>78</v>
      </c>
      <c r="AQ21" s="69" t="s">
        <v>78</v>
      </c>
      <c r="AR21" s="17" t="s">
        <v>78</v>
      </c>
      <c r="AS21" s="17" t="s">
        <v>78</v>
      </c>
      <c r="AT21" s="17" t="s">
        <v>78</v>
      </c>
      <c r="AU21" s="17" t="s">
        <v>78</v>
      </c>
      <c r="AV21" s="17" t="s">
        <v>78</v>
      </c>
      <c r="AW21" s="17" t="s">
        <v>78</v>
      </c>
      <c r="AX21" s="17" t="s">
        <v>78</v>
      </c>
      <c r="AY21" s="17" t="s">
        <v>78</v>
      </c>
      <c r="AZ21" s="69" t="s">
        <v>78</v>
      </c>
      <c r="BA21" s="17" t="s">
        <v>78</v>
      </c>
      <c r="BB21" s="17" t="s">
        <v>78</v>
      </c>
      <c r="BC21" s="69" t="s">
        <v>78</v>
      </c>
      <c r="BD21" s="69" t="s">
        <v>78</v>
      </c>
      <c r="BE21" s="17" t="s">
        <v>78</v>
      </c>
      <c r="BF21" s="17" t="s">
        <v>78</v>
      </c>
      <c r="BG21" s="17">
        <v>1.444</v>
      </c>
      <c r="BH21" s="17" t="s">
        <v>78</v>
      </c>
      <c r="BI21" s="17" t="s">
        <v>78</v>
      </c>
      <c r="BJ21" s="17" t="s">
        <v>78</v>
      </c>
      <c r="BK21" s="69" t="s">
        <v>78</v>
      </c>
      <c r="BL21" s="69" t="s">
        <v>78</v>
      </c>
      <c r="BM21" s="17">
        <v>1.169</v>
      </c>
      <c r="BN21" s="17" t="s">
        <v>78</v>
      </c>
      <c r="BO21" s="17" t="s">
        <v>78</v>
      </c>
      <c r="BP21" s="17" t="s">
        <v>78</v>
      </c>
      <c r="BQ21" s="17" t="s">
        <v>78</v>
      </c>
      <c r="BR21" s="17" t="s">
        <v>78</v>
      </c>
      <c r="BS21" s="17" t="s">
        <v>78</v>
      </c>
      <c r="BT21" s="17" t="s">
        <v>78</v>
      </c>
      <c r="BU21" s="17" t="s">
        <v>78</v>
      </c>
      <c r="BV21" s="17" t="s">
        <v>78</v>
      </c>
      <c r="BW21" s="17" t="s">
        <v>78</v>
      </c>
      <c r="BX21" s="17">
        <v>2.9000000000000001E-2</v>
      </c>
      <c r="BY21" s="17" t="s">
        <v>78</v>
      </c>
      <c r="BZ21" s="17" t="s">
        <v>78</v>
      </c>
      <c r="CA21" s="17" t="s">
        <v>78</v>
      </c>
      <c r="CB21" s="17" t="s">
        <v>78</v>
      </c>
      <c r="CC21" s="17" t="s">
        <v>78</v>
      </c>
      <c r="CD21" s="17" t="s">
        <v>78</v>
      </c>
      <c r="CE21" s="69" t="s">
        <v>78</v>
      </c>
      <c r="CF21" s="17" t="s">
        <v>78</v>
      </c>
      <c r="CG21" s="17" t="s">
        <v>78</v>
      </c>
      <c r="CH21" s="17" t="s">
        <v>78</v>
      </c>
      <c r="CI21" s="17" t="s">
        <v>78</v>
      </c>
      <c r="CJ21" s="69" t="s">
        <v>78</v>
      </c>
      <c r="CK21" s="17">
        <v>1.0999999999999999E-2</v>
      </c>
      <c r="CL21" s="17" t="s">
        <v>78</v>
      </c>
      <c r="CM21" s="17" t="s">
        <v>78</v>
      </c>
      <c r="CN21" s="17">
        <v>3.0000000000000001E-3</v>
      </c>
      <c r="CO21" s="17" t="s">
        <v>78</v>
      </c>
      <c r="CP21" s="17" t="s">
        <v>78</v>
      </c>
      <c r="CQ21" s="17" t="s">
        <v>78</v>
      </c>
      <c r="CR21" s="17" t="s">
        <v>78</v>
      </c>
      <c r="CS21" s="69" t="s">
        <v>78</v>
      </c>
      <c r="CT21" s="69" t="s">
        <v>78</v>
      </c>
      <c r="CU21" s="17" t="s">
        <v>78</v>
      </c>
      <c r="CV21" s="69" t="s">
        <v>78</v>
      </c>
      <c r="CW21" s="92">
        <v>2.44</v>
      </c>
      <c r="CX21" s="17" t="s">
        <v>78</v>
      </c>
      <c r="CY21" s="69" t="s">
        <v>78</v>
      </c>
      <c r="CZ21" s="69" t="s">
        <v>78</v>
      </c>
      <c r="DA21" s="17" t="s">
        <v>78</v>
      </c>
      <c r="DB21" s="17" t="s">
        <v>78</v>
      </c>
      <c r="DC21" s="17" t="s">
        <v>78</v>
      </c>
      <c r="DD21" s="17" t="s">
        <v>78</v>
      </c>
      <c r="DE21" s="17">
        <v>5.8000000000000003E-2</v>
      </c>
      <c r="DF21" s="17" t="s">
        <v>78</v>
      </c>
      <c r="DG21" s="17" t="s">
        <v>78</v>
      </c>
      <c r="DH21" s="69" t="s">
        <v>78</v>
      </c>
      <c r="DI21" s="69" t="s">
        <v>78</v>
      </c>
      <c r="DJ21" s="17" t="s">
        <v>78</v>
      </c>
      <c r="DK21" s="17" t="s">
        <v>78</v>
      </c>
      <c r="DL21" s="17" t="s">
        <v>78</v>
      </c>
      <c r="DM21" s="17" t="s">
        <v>78</v>
      </c>
      <c r="DN21" s="17">
        <v>2.9000000000000001E-2</v>
      </c>
      <c r="DO21" s="17" t="s">
        <v>78</v>
      </c>
      <c r="DP21" s="52" t="s">
        <v>78</v>
      </c>
      <c r="DQ21" s="8"/>
      <c r="DR21" s="8"/>
      <c r="DS21" s="8"/>
      <c r="DT21" s="8"/>
      <c r="DU21" s="8"/>
      <c r="DV21" s="8"/>
      <c r="DW21" s="8"/>
      <c r="DX21" s="8"/>
      <c r="DY21" s="8"/>
      <c r="DZ21" s="8"/>
      <c r="EA21" s="8"/>
      <c r="EB21" s="8"/>
    </row>
    <row r="22" spans="2:134" ht="15" thickBot="1" x14ac:dyDescent="0.4">
      <c r="B22" s="10"/>
      <c r="C22" s="357"/>
      <c r="D22" s="3"/>
      <c r="E22" s="4"/>
      <c r="F22" s="80"/>
      <c r="G22" s="56"/>
      <c r="H22" s="529"/>
      <c r="I22" s="70"/>
      <c r="J22" s="70"/>
      <c r="K22" s="3"/>
      <c r="L22" s="70"/>
      <c r="M22" s="268"/>
      <c r="N22" s="3"/>
      <c r="O22" s="3"/>
      <c r="P22" s="70"/>
      <c r="Q22" s="325"/>
      <c r="R22" s="3"/>
      <c r="S22" s="3"/>
      <c r="T22" s="3"/>
      <c r="U22" s="3"/>
      <c r="V22" s="70"/>
      <c r="W22" s="3"/>
      <c r="X22" s="70"/>
      <c r="Y22" s="3"/>
      <c r="Z22" s="3"/>
      <c r="AA22" s="3"/>
      <c r="AB22" s="3"/>
      <c r="AC22" s="75"/>
      <c r="AD22" s="152"/>
      <c r="AE22" s="70"/>
      <c r="AF22" s="3"/>
      <c r="AG22" s="70"/>
      <c r="AH22" s="3"/>
      <c r="AI22" s="3"/>
      <c r="AJ22" s="3"/>
      <c r="AK22" s="70"/>
      <c r="AL22" s="3"/>
      <c r="AM22" s="3"/>
      <c r="AN22" s="3"/>
      <c r="AO22" s="3"/>
      <c r="AP22" s="70"/>
      <c r="AQ22" s="70"/>
      <c r="AR22" s="3"/>
      <c r="AS22" s="3"/>
      <c r="AT22" s="3"/>
      <c r="AU22" s="3"/>
      <c r="AV22" s="3"/>
      <c r="AW22" s="3"/>
      <c r="AX22" s="3"/>
      <c r="AY22" s="3"/>
      <c r="AZ22" s="70"/>
      <c r="BA22" s="3"/>
      <c r="BB22" s="3"/>
      <c r="BC22" s="70"/>
      <c r="BD22" s="70"/>
      <c r="BE22" s="3"/>
      <c r="BF22" s="3"/>
      <c r="BG22" s="3"/>
      <c r="BH22" s="3"/>
      <c r="BI22" s="3"/>
      <c r="BJ22" s="3"/>
      <c r="BK22" s="70"/>
      <c r="BL22" s="70"/>
      <c r="BM22" s="3"/>
      <c r="BN22" s="3"/>
      <c r="BO22" s="3"/>
      <c r="BP22" s="3"/>
      <c r="BQ22" s="3"/>
      <c r="BR22" s="3"/>
      <c r="BS22" s="3"/>
      <c r="BT22" s="3"/>
      <c r="BU22" s="3"/>
      <c r="BV22" s="3"/>
      <c r="BW22" s="3"/>
      <c r="BX22" s="3"/>
      <c r="BY22" s="3"/>
      <c r="BZ22" s="3"/>
      <c r="CA22" s="3"/>
      <c r="CB22" s="3"/>
      <c r="CC22" s="3"/>
      <c r="CD22" s="3"/>
      <c r="CE22" s="70"/>
      <c r="CF22" s="3"/>
      <c r="CG22" s="3"/>
      <c r="CH22" s="3"/>
      <c r="CI22" s="3"/>
      <c r="CJ22" s="70"/>
      <c r="CK22" s="3"/>
      <c r="CL22" s="3"/>
      <c r="CM22" s="3"/>
      <c r="CN22" s="3"/>
      <c r="CO22" s="3"/>
      <c r="CP22" s="3"/>
      <c r="CQ22" s="3"/>
      <c r="CR22" s="3"/>
      <c r="CS22" s="70"/>
      <c r="CT22" s="70"/>
      <c r="CU22" s="3"/>
      <c r="CV22" s="70"/>
      <c r="CW22" s="3"/>
      <c r="CX22" s="3"/>
      <c r="CY22" s="70"/>
      <c r="CZ22" s="70"/>
      <c r="DA22" s="3"/>
      <c r="DB22" s="3"/>
      <c r="DC22" s="3"/>
      <c r="DD22" s="3"/>
      <c r="DE22" s="3"/>
      <c r="DF22" s="3"/>
      <c r="DG22" s="3"/>
      <c r="DH22" s="70"/>
      <c r="DI22" s="70"/>
      <c r="DJ22" s="3"/>
      <c r="DK22" s="3"/>
      <c r="DL22" s="3"/>
      <c r="DM22" s="3"/>
      <c r="DN22" s="3"/>
      <c r="DO22" s="3"/>
      <c r="DP22" s="4"/>
      <c r="DQ22" s="8"/>
      <c r="DR22" s="8"/>
      <c r="DS22" s="8"/>
      <c r="DT22" s="8"/>
      <c r="DU22" s="8"/>
      <c r="DV22" s="8"/>
      <c r="DW22" s="8"/>
      <c r="DX22" s="8"/>
      <c r="DY22" s="8"/>
      <c r="DZ22" s="8"/>
      <c r="EA22" s="8"/>
      <c r="EB22" s="8"/>
    </row>
    <row r="23" spans="2:134" x14ac:dyDescent="0.35">
      <c r="B23" s="117"/>
      <c r="C23" s="280" t="s">
        <v>201</v>
      </c>
      <c r="D23" s="147"/>
      <c r="E23" s="148"/>
      <c r="F23" s="83"/>
      <c r="G23" s="55"/>
      <c r="H23" s="530"/>
      <c r="I23" s="71"/>
      <c r="J23" s="71"/>
      <c r="K23" s="19"/>
      <c r="L23" s="71"/>
      <c r="M23" s="269"/>
      <c r="N23" s="19"/>
      <c r="O23" s="19"/>
      <c r="P23" s="71"/>
      <c r="Q23" s="147"/>
      <c r="R23" s="19"/>
      <c r="S23" s="19"/>
      <c r="T23" s="19"/>
      <c r="U23" s="19"/>
      <c r="V23" s="71"/>
      <c r="W23" s="19"/>
      <c r="X23" s="71"/>
      <c r="Y23" s="19"/>
      <c r="Z23" s="19"/>
      <c r="AA23" s="19"/>
      <c r="AB23" s="19"/>
      <c r="AC23" s="76"/>
      <c r="AD23" s="150"/>
      <c r="AE23" s="71"/>
      <c r="AF23" s="19"/>
      <c r="AG23" s="71"/>
      <c r="AH23" s="19"/>
      <c r="AI23" s="19"/>
      <c r="AJ23" s="19"/>
      <c r="AK23" s="71"/>
      <c r="AL23" s="19"/>
      <c r="AM23" s="19"/>
      <c r="AN23" s="19"/>
      <c r="AO23" s="19"/>
      <c r="AP23" s="71"/>
      <c r="AQ23" s="71"/>
      <c r="AR23" s="19"/>
      <c r="AS23" s="19"/>
      <c r="AT23" s="19"/>
      <c r="AU23" s="19"/>
      <c r="AV23" s="19"/>
      <c r="AW23" s="19"/>
      <c r="AX23" s="19"/>
      <c r="AY23" s="19"/>
      <c r="AZ23" s="71"/>
      <c r="BA23" s="19"/>
      <c r="BB23" s="19"/>
      <c r="BC23" s="71"/>
      <c r="BD23" s="71"/>
      <c r="BE23" s="19"/>
      <c r="BF23" s="19"/>
      <c r="BG23" s="19"/>
      <c r="BH23" s="19"/>
      <c r="BI23" s="19"/>
      <c r="BJ23" s="19"/>
      <c r="BK23" s="71"/>
      <c r="BL23" s="71"/>
      <c r="BM23" s="19"/>
      <c r="BN23" s="19"/>
      <c r="BO23" s="19"/>
      <c r="BP23" s="19"/>
      <c r="BQ23" s="19"/>
      <c r="BR23" s="19"/>
      <c r="BS23" s="19"/>
      <c r="BT23" s="19"/>
      <c r="BU23" s="19"/>
      <c r="BV23" s="19"/>
      <c r="BW23" s="19"/>
      <c r="BX23" s="19"/>
      <c r="BY23" s="19"/>
      <c r="BZ23" s="19"/>
      <c r="CA23" s="19"/>
      <c r="CB23" s="19"/>
      <c r="CC23" s="19"/>
      <c r="CD23" s="19"/>
      <c r="CE23" s="71"/>
      <c r="CF23" s="19"/>
      <c r="CG23" s="19"/>
      <c r="CH23" s="19"/>
      <c r="CI23" s="19"/>
      <c r="CJ23" s="71"/>
      <c r="CK23" s="19"/>
      <c r="CL23" s="19"/>
      <c r="CM23" s="19"/>
      <c r="CN23" s="19"/>
      <c r="CO23" s="19"/>
      <c r="CP23" s="19"/>
      <c r="CQ23" s="19"/>
      <c r="CR23" s="19"/>
      <c r="CS23" s="71"/>
      <c r="CT23" s="71"/>
      <c r="CU23" s="19"/>
      <c r="CV23" s="71"/>
      <c r="CW23" s="19"/>
      <c r="CX23" s="19"/>
      <c r="CY23" s="71"/>
      <c r="CZ23" s="71"/>
      <c r="DA23" s="19"/>
      <c r="DB23" s="19"/>
      <c r="DC23" s="19"/>
      <c r="DD23" s="19"/>
      <c r="DE23" s="19"/>
      <c r="DF23" s="19"/>
      <c r="DG23" s="19"/>
      <c r="DH23" s="71"/>
      <c r="DI23" s="71"/>
      <c r="DJ23" s="19"/>
      <c r="DK23" s="19"/>
      <c r="DL23" s="19"/>
      <c r="DM23" s="19"/>
      <c r="DN23" s="19"/>
      <c r="DO23" s="19"/>
      <c r="DP23" s="20"/>
      <c r="DQ23" s="8"/>
      <c r="DR23" s="8"/>
      <c r="DS23" s="8"/>
      <c r="DT23" s="8"/>
      <c r="DU23" s="8"/>
      <c r="DV23" s="8"/>
      <c r="DW23" s="8"/>
      <c r="DX23" s="8"/>
      <c r="DY23" s="8"/>
      <c r="DZ23" s="8"/>
      <c r="EA23" s="8"/>
      <c r="EB23" s="8"/>
    </row>
    <row r="24" spans="2:134" x14ac:dyDescent="0.35">
      <c r="B24" s="18"/>
      <c r="C24" s="27"/>
      <c r="D24" s="9"/>
      <c r="E24" s="139" t="s">
        <v>110</v>
      </c>
      <c r="F24" s="210"/>
      <c r="G24" s="314"/>
      <c r="H24" s="528"/>
      <c r="I24" s="96"/>
      <c r="J24" s="96"/>
      <c r="K24" s="8"/>
      <c r="L24" s="96"/>
      <c r="M24" s="358"/>
      <c r="N24" s="8"/>
      <c r="O24" s="8"/>
      <c r="P24" s="96"/>
      <c r="R24" s="8"/>
      <c r="S24" s="8"/>
      <c r="U24" s="8"/>
      <c r="V24" s="96"/>
      <c r="W24" s="8"/>
      <c r="X24" s="96"/>
      <c r="Y24" s="8"/>
      <c r="Z24" s="8"/>
      <c r="AA24" s="8"/>
      <c r="AB24" s="8"/>
      <c r="AC24" s="112"/>
      <c r="AD24" s="464"/>
      <c r="AE24" s="459"/>
      <c r="AF24" s="8"/>
      <c r="AG24" s="96"/>
      <c r="AH24" s="8"/>
      <c r="AI24" s="8"/>
      <c r="AJ24" s="8"/>
      <c r="AK24" s="96"/>
      <c r="AL24" s="8"/>
      <c r="AM24" s="8"/>
      <c r="AN24" s="8"/>
      <c r="AO24" s="8"/>
      <c r="AP24" s="96"/>
      <c r="AQ24" s="96"/>
      <c r="AR24" s="8"/>
      <c r="AS24" s="8"/>
      <c r="AT24" s="8"/>
      <c r="AU24" s="8"/>
      <c r="AV24" s="8"/>
      <c r="AW24" s="8"/>
      <c r="AX24" s="8"/>
      <c r="AY24" s="8"/>
      <c r="AZ24" s="96"/>
      <c r="BA24" s="8"/>
      <c r="BB24" s="8"/>
      <c r="BC24" s="96"/>
      <c r="BD24" s="96"/>
      <c r="BF24" s="8"/>
      <c r="BG24" s="8"/>
      <c r="BH24" s="8"/>
      <c r="BI24" s="8"/>
      <c r="BJ24" s="8"/>
      <c r="BK24" s="96"/>
      <c r="BL24" s="96"/>
      <c r="BM24" s="8"/>
      <c r="BN24" s="8"/>
      <c r="BO24" s="8"/>
      <c r="BP24" s="8"/>
      <c r="BQ24" s="8"/>
      <c r="BR24" s="8"/>
      <c r="BS24" s="8"/>
      <c r="BT24" s="8"/>
      <c r="BU24" s="8"/>
      <c r="BV24" s="8"/>
      <c r="BW24" s="8"/>
      <c r="BX24" s="8"/>
      <c r="BY24" s="8"/>
      <c r="BZ24" s="8"/>
      <c r="CA24" s="8"/>
      <c r="CB24" s="8"/>
      <c r="CC24" s="8"/>
      <c r="CD24" s="8"/>
      <c r="CE24" s="96"/>
      <c r="CF24" s="8"/>
      <c r="CG24" s="8"/>
      <c r="CH24" s="8"/>
      <c r="CI24" s="8"/>
      <c r="CJ24" s="96"/>
      <c r="CK24" s="8"/>
      <c r="CL24" s="8"/>
      <c r="CM24" s="8"/>
      <c r="CN24" s="8"/>
      <c r="CO24" s="8"/>
      <c r="CP24" s="8"/>
      <c r="CQ24" s="8"/>
      <c r="CR24" s="8"/>
      <c r="CS24" s="96"/>
      <c r="CT24" s="96"/>
      <c r="CU24" s="8"/>
      <c r="CV24" s="96"/>
      <c r="CW24" s="8"/>
      <c r="CX24" s="8"/>
      <c r="CY24" s="96"/>
      <c r="CZ24" s="96"/>
      <c r="DA24" s="8"/>
      <c r="DB24" s="8"/>
      <c r="DC24" s="8"/>
      <c r="DD24" s="8"/>
      <c r="DE24" s="8"/>
      <c r="DF24" s="8"/>
      <c r="DG24" s="8"/>
      <c r="DH24" s="96"/>
      <c r="DI24" s="96"/>
      <c r="DL24" s="8"/>
      <c r="DM24" s="8"/>
      <c r="DN24" s="8"/>
      <c r="DO24" s="8"/>
      <c r="DP24" s="406"/>
      <c r="DQ24" s="8"/>
      <c r="DR24" s="8"/>
      <c r="DS24" s="8"/>
      <c r="DT24" s="8"/>
      <c r="DU24" s="8"/>
      <c r="DV24" s="8"/>
      <c r="DW24" s="8"/>
      <c r="DX24" s="8"/>
      <c r="DY24" s="8"/>
      <c r="DZ24" s="8"/>
      <c r="EA24" s="8"/>
      <c r="EB24" s="8"/>
    </row>
    <row r="25" spans="2:134" s="384" customFormat="1" ht="16.5" x14ac:dyDescent="0.35">
      <c r="B25" s="359"/>
      <c r="C25" s="41"/>
      <c r="D25" s="9">
        <v>50200601</v>
      </c>
      <c r="E25" s="141" t="s">
        <v>181</v>
      </c>
      <c r="F25" s="134" t="s">
        <v>359</v>
      </c>
      <c r="G25" s="156" t="s">
        <v>146</v>
      </c>
      <c r="H25" s="542" t="s">
        <v>457</v>
      </c>
      <c r="I25" s="360" t="s">
        <v>78</v>
      </c>
      <c r="J25" s="360" t="s">
        <v>78</v>
      </c>
      <c r="K25" s="361">
        <v>5.91E-2</v>
      </c>
      <c r="L25" s="360" t="s">
        <v>78</v>
      </c>
      <c r="M25" s="362" t="s">
        <v>78</v>
      </c>
      <c r="N25" s="363">
        <v>1.4300000000000001E-3</v>
      </c>
      <c r="O25" s="364">
        <v>1.2099999999999999E-5</v>
      </c>
      <c r="P25" s="365">
        <v>4.64E-3</v>
      </c>
      <c r="Q25" s="361" t="s">
        <v>78</v>
      </c>
      <c r="R25" s="366">
        <v>4.8600000000000003</v>
      </c>
      <c r="S25" s="361" t="s">
        <v>78</v>
      </c>
      <c r="T25" s="367">
        <v>2.9199999999999999E-3</v>
      </c>
      <c r="U25" s="361" t="s">
        <v>78</v>
      </c>
      <c r="V25" s="360" t="s">
        <v>78</v>
      </c>
      <c r="W25" s="363">
        <v>1.4300000000000001E-3</v>
      </c>
      <c r="X25" s="98" t="s">
        <v>78</v>
      </c>
      <c r="Y25" s="361" t="s">
        <v>78</v>
      </c>
      <c r="Z25" s="361" t="s">
        <v>78</v>
      </c>
      <c r="AA25" s="361" t="s">
        <v>78</v>
      </c>
      <c r="AB25" s="361" t="s">
        <v>78</v>
      </c>
      <c r="AC25" s="205">
        <v>4.28</v>
      </c>
      <c r="AD25" s="155">
        <v>1.0889E-4</v>
      </c>
      <c r="AE25" s="135">
        <v>7.0439999999999998E-6</v>
      </c>
      <c r="AF25" s="368">
        <v>0.65300000000000002</v>
      </c>
      <c r="AG25" s="369">
        <v>7.96</v>
      </c>
      <c r="AH25" s="370">
        <v>9.3299999999999994E-2</v>
      </c>
      <c r="AI25" s="361">
        <v>4.4999999999999997E-3</v>
      </c>
      <c r="AJ25" s="361" t="s">
        <v>78</v>
      </c>
      <c r="AK25" s="371">
        <v>1.1037E-5</v>
      </c>
      <c r="AL25" s="361">
        <v>5.6000000000000001E-2</v>
      </c>
      <c r="AM25" s="372">
        <v>0.85899999999999999</v>
      </c>
      <c r="AN25" s="361">
        <v>5.6000000000000001E-2</v>
      </c>
      <c r="AO25" s="361">
        <v>5.6000000000000001E-2</v>
      </c>
      <c r="AP25" s="373">
        <v>7.4800000000000002E-5</v>
      </c>
      <c r="AQ25" s="360">
        <v>5.6000000000000001E-2</v>
      </c>
      <c r="AR25" s="361">
        <v>5.6000000000000001E-2</v>
      </c>
      <c r="AS25" s="361" t="s">
        <v>78</v>
      </c>
      <c r="AT25" s="17" t="s">
        <v>78</v>
      </c>
      <c r="AU25" s="361">
        <v>3.7600000000000001E-2</v>
      </c>
      <c r="AV25" s="361" t="s">
        <v>78</v>
      </c>
      <c r="AW25" s="372">
        <v>0.86899999999999999</v>
      </c>
      <c r="AX25" s="361">
        <v>5.6000000000000001E-2</v>
      </c>
      <c r="AY25" s="374">
        <v>6.511E-6</v>
      </c>
      <c r="AZ25" s="69" t="s">
        <v>78</v>
      </c>
      <c r="BA25" s="372">
        <v>5.6000000000000001E-2</v>
      </c>
      <c r="BB25" s="368">
        <v>0.437</v>
      </c>
      <c r="BC25" s="360" t="s">
        <v>78</v>
      </c>
      <c r="BD25" s="360" t="s">
        <v>78</v>
      </c>
      <c r="BE25" s="60" t="s">
        <v>78</v>
      </c>
      <c r="BF25" s="375">
        <v>4.5519100000000002E-3</v>
      </c>
      <c r="BG25" s="361" t="s">
        <v>78</v>
      </c>
      <c r="BH25" s="17" t="s">
        <v>78</v>
      </c>
      <c r="BI25" s="361" t="s">
        <v>78</v>
      </c>
      <c r="BJ25" s="376">
        <v>1.35</v>
      </c>
      <c r="BK25" s="373">
        <v>1.4E-5</v>
      </c>
      <c r="BL25" s="377">
        <v>2.8370000000000001E-4</v>
      </c>
      <c r="BM25" s="372">
        <v>0.17699999999999999</v>
      </c>
      <c r="BN25" s="372" t="s">
        <v>78</v>
      </c>
      <c r="BO25" s="372" t="s">
        <v>78</v>
      </c>
      <c r="BP25" s="372" t="s">
        <v>78</v>
      </c>
      <c r="BQ25" s="372" t="s">
        <v>78</v>
      </c>
      <c r="BR25" s="372" t="s">
        <v>78</v>
      </c>
      <c r="BS25" s="372" t="s">
        <v>78</v>
      </c>
      <c r="BT25" s="372" t="s">
        <v>78</v>
      </c>
      <c r="BU25" s="372" t="s">
        <v>78</v>
      </c>
      <c r="BV25" s="372" t="s">
        <v>78</v>
      </c>
      <c r="BW25" s="372" t="s">
        <v>78</v>
      </c>
      <c r="BX25" s="361" t="s">
        <v>78</v>
      </c>
      <c r="BY25" s="363">
        <v>1.6100000000000001E-3</v>
      </c>
      <c r="BZ25" s="372">
        <v>0.215</v>
      </c>
      <c r="CA25" s="17" t="s">
        <v>78</v>
      </c>
      <c r="CB25" s="361">
        <v>5.6000000000000001E-2</v>
      </c>
      <c r="CC25" s="361" t="s">
        <v>78</v>
      </c>
      <c r="CD25" s="17" t="s">
        <v>78</v>
      </c>
      <c r="CE25" s="69" t="s">
        <v>78</v>
      </c>
      <c r="CF25" s="368">
        <v>0.33700000000000002</v>
      </c>
      <c r="CG25" s="361" t="s">
        <v>78</v>
      </c>
      <c r="CH25" s="361" t="s">
        <v>78</v>
      </c>
      <c r="CI25" s="366">
        <v>9.41</v>
      </c>
      <c r="CJ25" s="378">
        <v>9.556E-5</v>
      </c>
      <c r="CK25" s="379">
        <v>1.75E-4</v>
      </c>
      <c r="CL25" s="380" t="s">
        <v>78</v>
      </c>
      <c r="CM25" s="380" t="s">
        <v>78</v>
      </c>
      <c r="CN25" s="361" t="s">
        <v>78</v>
      </c>
      <c r="CO25" s="380" t="s">
        <v>78</v>
      </c>
      <c r="CP25" s="380" t="s">
        <v>78</v>
      </c>
      <c r="CQ25" s="380" t="s">
        <v>78</v>
      </c>
      <c r="CR25" s="361" t="s">
        <v>78</v>
      </c>
      <c r="CS25" s="373">
        <v>7.4800000000000002E-5</v>
      </c>
      <c r="CT25" s="381">
        <v>9.8518499999999997E-4</v>
      </c>
      <c r="CU25" s="312" t="s">
        <v>78</v>
      </c>
      <c r="CV25" s="382" t="s">
        <v>78</v>
      </c>
      <c r="CW25" s="364" t="s">
        <v>78</v>
      </c>
      <c r="CX25" s="364" t="s">
        <v>78</v>
      </c>
      <c r="CY25" s="373">
        <v>3.04E-5</v>
      </c>
      <c r="CZ25" s="135" t="s">
        <v>78</v>
      </c>
      <c r="DA25" s="361" t="s">
        <v>78</v>
      </c>
      <c r="DB25" s="361" t="s">
        <v>78</v>
      </c>
      <c r="DC25" s="361" t="s">
        <v>78</v>
      </c>
      <c r="DD25" s="361" t="s">
        <v>78</v>
      </c>
      <c r="DE25" s="383">
        <v>109</v>
      </c>
      <c r="DF25" s="372">
        <v>1.1299999999999999</v>
      </c>
      <c r="DG25" s="361" t="s">
        <v>78</v>
      </c>
      <c r="DH25" s="360" t="s">
        <v>78</v>
      </c>
      <c r="DI25" s="360" t="s">
        <v>78</v>
      </c>
      <c r="DJ25" s="60" t="s">
        <v>78</v>
      </c>
      <c r="DK25" s="60" t="s">
        <v>78</v>
      </c>
      <c r="DL25" s="361">
        <v>7.6399999999999996E-2</v>
      </c>
      <c r="DM25" s="137" t="s">
        <v>78</v>
      </c>
      <c r="DN25" s="361" t="s">
        <v>78</v>
      </c>
      <c r="DO25" s="361">
        <v>0.46100000000000002</v>
      </c>
      <c r="DP25" s="406">
        <v>0.33500000000000002</v>
      </c>
    </row>
    <row r="26" spans="2:134" ht="15" thickBot="1" x14ac:dyDescent="0.4">
      <c r="B26" s="10"/>
      <c r="C26" s="357"/>
      <c r="D26" s="11"/>
      <c r="E26" s="12"/>
      <c r="F26" s="190"/>
      <c r="G26" s="4"/>
      <c r="H26" s="531"/>
      <c r="I26" s="70"/>
      <c r="J26" s="70"/>
      <c r="K26" s="3"/>
      <c r="L26" s="70"/>
      <c r="M26" s="268"/>
      <c r="N26" s="3"/>
      <c r="O26" s="3"/>
      <c r="P26" s="70"/>
      <c r="Q26" s="325"/>
      <c r="R26" s="3"/>
      <c r="S26" s="3"/>
      <c r="T26" s="3"/>
      <c r="U26" s="3"/>
      <c r="V26" s="70"/>
      <c r="W26" s="3"/>
      <c r="X26" s="70"/>
      <c r="Y26" s="3"/>
      <c r="Z26" s="3"/>
      <c r="AA26" s="3"/>
      <c r="AB26" s="3"/>
      <c r="AC26" s="75"/>
      <c r="AD26" s="152"/>
      <c r="AE26" s="70"/>
      <c r="AF26" s="3"/>
      <c r="AG26" s="70"/>
      <c r="AH26" s="3"/>
      <c r="AI26" s="3"/>
      <c r="AJ26" s="3"/>
      <c r="AK26" s="70"/>
      <c r="AL26" s="3"/>
      <c r="AM26" s="3"/>
      <c r="AN26" s="3"/>
      <c r="AO26" s="3"/>
      <c r="AP26" s="70"/>
      <c r="AQ26" s="70"/>
      <c r="AR26" s="3"/>
      <c r="AS26" s="3"/>
      <c r="AT26" s="3"/>
      <c r="AU26" s="3"/>
      <c r="AV26" s="3"/>
      <c r="AW26" s="3"/>
      <c r="AX26" s="3"/>
      <c r="AY26" s="3"/>
      <c r="AZ26" s="70"/>
      <c r="BA26" s="3"/>
      <c r="BB26" s="3"/>
      <c r="BC26" s="70"/>
      <c r="BD26" s="70"/>
      <c r="BE26" s="3"/>
      <c r="BF26" s="3"/>
      <c r="BG26" s="149"/>
      <c r="BH26" s="3"/>
      <c r="BI26" s="3"/>
      <c r="BJ26" s="3"/>
      <c r="BK26" s="70"/>
      <c r="BL26" s="70"/>
      <c r="BM26" s="3"/>
      <c r="BN26" s="3"/>
      <c r="BO26" s="3"/>
      <c r="BP26" s="3"/>
      <c r="BQ26" s="3"/>
      <c r="BR26" s="3"/>
      <c r="BS26" s="3"/>
      <c r="BT26" s="3"/>
      <c r="BU26" s="3"/>
      <c r="BV26" s="3"/>
      <c r="BW26" s="3"/>
      <c r="BX26" s="3"/>
      <c r="BY26" s="3"/>
      <c r="BZ26" s="3"/>
      <c r="CA26" s="3"/>
      <c r="CB26" s="3"/>
      <c r="CC26" s="3"/>
      <c r="CD26" s="3"/>
      <c r="CE26" s="70"/>
      <c r="CF26" s="3"/>
      <c r="CG26" s="3"/>
      <c r="CH26" s="3"/>
      <c r="CI26" s="3"/>
      <c r="CJ26" s="70"/>
      <c r="CK26" s="3"/>
      <c r="CL26" s="3"/>
      <c r="CM26" s="3"/>
      <c r="CN26" s="3"/>
      <c r="CO26" s="3"/>
      <c r="CP26" s="3"/>
      <c r="CQ26" s="3"/>
      <c r="CR26" s="3"/>
      <c r="CS26" s="70"/>
      <c r="CT26" s="70"/>
      <c r="CU26" s="3"/>
      <c r="CV26" s="70"/>
      <c r="CW26" s="3"/>
      <c r="CX26" s="3"/>
      <c r="CY26" s="70"/>
      <c r="CZ26" s="70"/>
      <c r="DA26" s="3"/>
      <c r="DB26" s="3"/>
      <c r="DC26" s="3"/>
      <c r="DD26" s="3"/>
      <c r="DE26" s="3"/>
      <c r="DF26" s="3"/>
      <c r="DG26" s="3"/>
      <c r="DH26" s="70"/>
      <c r="DI26" s="70"/>
      <c r="DJ26" s="3"/>
      <c r="DK26" s="3"/>
      <c r="DL26" s="3"/>
      <c r="DM26" s="3"/>
      <c r="DN26" s="3"/>
      <c r="DO26" s="3"/>
      <c r="DP26" s="4"/>
      <c r="DQ26" s="8"/>
      <c r="DR26" s="8"/>
      <c r="DS26" s="8"/>
      <c r="DT26" s="8"/>
      <c r="DU26" s="8"/>
      <c r="DV26" s="8"/>
      <c r="DW26" s="8"/>
      <c r="DX26" s="8"/>
      <c r="DY26" s="8"/>
      <c r="DZ26" s="8"/>
      <c r="EA26" s="8"/>
      <c r="EB26" s="8"/>
    </row>
    <row r="27" spans="2:134" x14ac:dyDescent="0.35">
      <c r="B27" s="116"/>
      <c r="C27" s="281" t="s">
        <v>123</v>
      </c>
      <c r="D27" s="16"/>
      <c r="E27" s="385"/>
      <c r="F27" s="386"/>
      <c r="G27" s="21"/>
      <c r="H27" s="527"/>
      <c r="I27" s="96"/>
      <c r="J27" s="96"/>
      <c r="K27" s="8"/>
      <c r="L27" s="96"/>
      <c r="M27" s="358"/>
      <c r="N27" s="8"/>
      <c r="O27" s="8"/>
      <c r="P27" s="96"/>
      <c r="R27" s="8"/>
      <c r="S27" s="8"/>
      <c r="U27" s="8"/>
      <c r="V27" s="96"/>
      <c r="W27" s="8"/>
      <c r="X27" s="96"/>
      <c r="Y27" s="8"/>
      <c r="Z27" s="8"/>
      <c r="AA27" s="8"/>
      <c r="AB27" s="8"/>
      <c r="AC27" s="112"/>
      <c r="AD27" s="154"/>
      <c r="AE27" s="96"/>
      <c r="AF27" s="8"/>
      <c r="AG27" s="96"/>
      <c r="AH27" s="8"/>
      <c r="AI27" s="8"/>
      <c r="AJ27" s="8"/>
      <c r="AK27" s="96"/>
      <c r="AL27" s="8"/>
      <c r="AM27" s="8"/>
      <c r="AN27" s="8"/>
      <c r="AO27" s="8"/>
      <c r="AP27" s="96"/>
      <c r="AQ27" s="96"/>
      <c r="AR27" s="8"/>
      <c r="AS27" s="8"/>
      <c r="AT27" s="8"/>
      <c r="AU27" s="8"/>
      <c r="AV27" s="8"/>
      <c r="AW27" s="8"/>
      <c r="AX27" s="8"/>
      <c r="AY27" s="8"/>
      <c r="AZ27" s="96"/>
      <c r="BA27" s="8"/>
      <c r="BB27" s="8"/>
      <c r="BC27" s="96"/>
      <c r="BD27" s="96"/>
      <c r="BF27" s="8"/>
      <c r="BG27" s="8"/>
      <c r="BH27" s="8"/>
      <c r="BI27" s="8"/>
      <c r="BJ27" s="8"/>
      <c r="BK27" s="96"/>
      <c r="BL27" s="96"/>
      <c r="BM27" s="8"/>
      <c r="BN27" s="8"/>
      <c r="BO27" s="8"/>
      <c r="BP27" s="8"/>
      <c r="BQ27" s="8"/>
      <c r="BR27" s="8"/>
      <c r="BS27" s="8"/>
      <c r="BT27" s="8"/>
      <c r="BU27" s="8"/>
      <c r="BV27" s="8"/>
      <c r="BW27" s="8"/>
      <c r="BX27" s="8"/>
      <c r="BY27" s="8"/>
      <c r="BZ27" s="8"/>
      <c r="CA27" s="8"/>
      <c r="CB27" s="8"/>
      <c r="CC27" s="8"/>
      <c r="CD27" s="8"/>
      <c r="CE27" s="96"/>
      <c r="CF27" s="8"/>
      <c r="CG27" s="8"/>
      <c r="CH27" s="8"/>
      <c r="CI27" s="8"/>
      <c r="CJ27" s="96"/>
      <c r="CK27" s="8"/>
      <c r="CL27" s="8"/>
      <c r="CM27" s="8"/>
      <c r="CN27" s="8"/>
      <c r="CO27" s="8"/>
      <c r="CP27" s="8"/>
      <c r="CQ27" s="8"/>
      <c r="CR27" s="8"/>
      <c r="CS27" s="96"/>
      <c r="CT27" s="96"/>
      <c r="CU27" s="8"/>
      <c r="CV27" s="96"/>
      <c r="CW27" s="8"/>
      <c r="CX27" s="8"/>
      <c r="CY27" s="96"/>
      <c r="CZ27" s="96"/>
      <c r="DA27" s="8"/>
      <c r="DB27" s="8"/>
      <c r="DC27" s="8"/>
      <c r="DD27" s="8"/>
      <c r="DE27" s="8"/>
      <c r="DF27" s="8"/>
      <c r="DG27" s="8"/>
      <c r="DH27" s="96"/>
      <c r="DI27" s="96"/>
      <c r="DL27" s="8"/>
      <c r="DM27" s="8"/>
      <c r="DN27" s="8"/>
      <c r="DO27" s="8"/>
      <c r="DP27" s="20"/>
      <c r="DQ27" s="8"/>
      <c r="DR27" s="8"/>
      <c r="DS27" s="8"/>
      <c r="DT27" s="8"/>
      <c r="DU27" s="8"/>
      <c r="DV27" s="8"/>
      <c r="DW27" s="8"/>
      <c r="DX27" s="8"/>
      <c r="DY27" s="8"/>
      <c r="DZ27" s="8"/>
      <c r="EA27" s="8"/>
      <c r="EB27" s="8"/>
    </row>
    <row r="28" spans="2:134" ht="16.5" x14ac:dyDescent="0.35">
      <c r="B28" s="18"/>
      <c r="C28" s="27"/>
      <c r="D28" s="9" t="s">
        <v>434</v>
      </c>
      <c r="E28" s="139" t="s">
        <v>124</v>
      </c>
      <c r="F28" s="144" t="s">
        <v>399</v>
      </c>
      <c r="G28" s="314" t="s">
        <v>424</v>
      </c>
      <c r="H28" s="542" t="s">
        <v>457</v>
      </c>
      <c r="I28" s="69" t="s">
        <v>78</v>
      </c>
      <c r="J28" s="69" t="s">
        <v>78</v>
      </c>
      <c r="K28" s="17">
        <v>5.8E-4</v>
      </c>
      <c r="L28" s="69" t="s">
        <v>78</v>
      </c>
      <c r="M28" s="238">
        <v>2.0000000000000002E-5</v>
      </c>
      <c r="N28" s="17">
        <v>1.6000000000000001E-4</v>
      </c>
      <c r="O28" s="17">
        <v>1.9000000000000001E-4</v>
      </c>
      <c r="P28" s="69">
        <v>5.1000000000000004E-4</v>
      </c>
      <c r="Q28" s="138" t="s">
        <v>78</v>
      </c>
      <c r="R28" s="23">
        <v>4.0000000000000002E-4</v>
      </c>
      <c r="S28" s="17">
        <v>9.7999999999999997E-4</v>
      </c>
      <c r="T28" s="17" t="s">
        <v>78</v>
      </c>
      <c r="U28" s="23">
        <f>0.00218/150*2000</f>
        <v>2.9066666666666668E-2</v>
      </c>
      <c r="V28" s="69" t="s">
        <v>78</v>
      </c>
      <c r="W28" s="17">
        <v>5.6999999999999998E-4</v>
      </c>
      <c r="X28" s="69" t="s">
        <v>78</v>
      </c>
      <c r="Y28" s="17">
        <v>6.4999999999999997E-4</v>
      </c>
      <c r="Z28" s="17" t="s">
        <v>78</v>
      </c>
      <c r="AA28" s="17" t="s">
        <v>78</v>
      </c>
      <c r="AB28" s="17" t="s">
        <v>78</v>
      </c>
      <c r="AC28" s="77">
        <v>5.1999999999999995E-4</v>
      </c>
      <c r="AD28" s="151" t="s">
        <v>78</v>
      </c>
      <c r="AE28" s="69" t="s">
        <v>78</v>
      </c>
      <c r="AF28" s="17">
        <v>1.5E-3</v>
      </c>
      <c r="AG28" s="69" t="s">
        <v>78</v>
      </c>
      <c r="AH28" s="17" t="s">
        <v>78</v>
      </c>
      <c r="AI28" s="17" t="s">
        <v>78</v>
      </c>
      <c r="AJ28" s="17" t="s">
        <v>78</v>
      </c>
      <c r="AK28" s="69" t="s">
        <v>78</v>
      </c>
      <c r="AL28" s="17" t="s">
        <v>78</v>
      </c>
      <c r="AM28" s="17">
        <v>7.2000000000000005E-4</v>
      </c>
      <c r="AN28" s="17" t="s">
        <v>78</v>
      </c>
      <c r="AO28" s="17" t="s">
        <v>78</v>
      </c>
      <c r="AP28" s="69" t="s">
        <v>78</v>
      </c>
      <c r="AQ28" s="69" t="s">
        <v>78</v>
      </c>
      <c r="AR28" s="17" t="s">
        <v>78</v>
      </c>
      <c r="AS28" s="17" t="s">
        <v>78</v>
      </c>
      <c r="AT28" s="17" t="s">
        <v>78</v>
      </c>
      <c r="AU28" s="17" t="s">
        <v>78</v>
      </c>
      <c r="AV28" s="17" t="s">
        <v>78</v>
      </c>
      <c r="AW28" s="17" t="s">
        <v>78</v>
      </c>
      <c r="AX28" s="17" t="s">
        <v>78</v>
      </c>
      <c r="AY28" s="17" t="s">
        <v>78</v>
      </c>
      <c r="AZ28" s="69" t="s">
        <v>78</v>
      </c>
      <c r="BA28" s="17" t="s">
        <v>78</v>
      </c>
      <c r="BB28" s="17" t="s">
        <v>78</v>
      </c>
      <c r="BC28" s="69" t="s">
        <v>78</v>
      </c>
      <c r="BD28" s="69" t="s">
        <v>78</v>
      </c>
      <c r="BE28" s="17" t="s">
        <v>78</v>
      </c>
      <c r="BF28" s="17" t="s">
        <v>78</v>
      </c>
      <c r="BG28" s="17" t="s">
        <v>78</v>
      </c>
      <c r="BH28" s="17" t="s">
        <v>78</v>
      </c>
      <c r="BI28" s="17" t="s">
        <v>78</v>
      </c>
      <c r="BJ28" s="17" t="s">
        <v>78</v>
      </c>
      <c r="BK28" s="69" t="s">
        <v>78</v>
      </c>
      <c r="BL28" s="69" t="s">
        <v>78</v>
      </c>
      <c r="BM28" s="23">
        <v>4.0000000000000002E-4</v>
      </c>
      <c r="BN28" s="23" t="s">
        <v>78</v>
      </c>
      <c r="BO28" s="23" t="s">
        <v>78</v>
      </c>
      <c r="BP28" s="23" t="s">
        <v>78</v>
      </c>
      <c r="BQ28" s="23" t="s">
        <v>78</v>
      </c>
      <c r="BR28" s="23" t="s">
        <v>78</v>
      </c>
      <c r="BS28" s="23" t="s">
        <v>78</v>
      </c>
      <c r="BT28" s="23" t="s">
        <v>78</v>
      </c>
      <c r="BU28" s="23" t="s">
        <v>78</v>
      </c>
      <c r="BV28" s="23" t="s">
        <v>78</v>
      </c>
      <c r="BW28" s="23" t="s">
        <v>78</v>
      </c>
      <c r="BX28" s="17" t="s">
        <v>78</v>
      </c>
      <c r="BY28" s="17">
        <v>0.86</v>
      </c>
      <c r="BZ28" s="17">
        <v>7.7999999999999996E-3</v>
      </c>
      <c r="CA28" s="17" t="s">
        <v>78</v>
      </c>
      <c r="CB28" s="17" t="s">
        <v>78</v>
      </c>
      <c r="CC28" s="17" t="s">
        <v>78</v>
      </c>
      <c r="CD28" s="17" t="s">
        <v>78</v>
      </c>
      <c r="CE28" s="69" t="s">
        <v>78</v>
      </c>
      <c r="CF28" s="17" t="s">
        <v>78</v>
      </c>
      <c r="CG28" s="17" t="s">
        <v>78</v>
      </c>
      <c r="CH28" s="17" t="s">
        <v>78</v>
      </c>
      <c r="CI28" s="17" t="s">
        <v>78</v>
      </c>
      <c r="CJ28" s="69" t="s">
        <v>78</v>
      </c>
      <c r="CK28" s="17" t="s">
        <v>78</v>
      </c>
      <c r="CL28" s="17" t="s">
        <v>78</v>
      </c>
      <c r="CM28" s="17" t="s">
        <v>78</v>
      </c>
      <c r="CN28" s="238">
        <v>5.1999999999999997E-5</v>
      </c>
      <c r="CO28" s="17" t="s">
        <v>78</v>
      </c>
      <c r="CP28" s="17" t="s">
        <v>78</v>
      </c>
      <c r="CQ28" s="17" t="s">
        <v>78</v>
      </c>
      <c r="CR28" s="17" t="s">
        <v>78</v>
      </c>
      <c r="CS28" s="69" t="s">
        <v>78</v>
      </c>
      <c r="CT28" s="69" t="s">
        <v>78</v>
      </c>
      <c r="CU28" s="17" t="s">
        <v>78</v>
      </c>
      <c r="CV28" s="69" t="s">
        <v>78</v>
      </c>
      <c r="CW28" s="17" t="s">
        <v>78</v>
      </c>
      <c r="CX28" s="17" t="s">
        <v>78</v>
      </c>
      <c r="CY28" s="69" t="s">
        <v>78</v>
      </c>
      <c r="CZ28" s="69" t="s">
        <v>78</v>
      </c>
      <c r="DA28" s="17" t="s">
        <v>78</v>
      </c>
      <c r="DB28" s="17" t="s">
        <v>78</v>
      </c>
      <c r="DC28" s="17" t="s">
        <v>78</v>
      </c>
      <c r="DD28" s="17" t="s">
        <v>78</v>
      </c>
      <c r="DE28" s="17">
        <v>9.9000000000000008E-3</v>
      </c>
      <c r="DF28" s="17" t="s">
        <v>78</v>
      </c>
      <c r="DG28" s="17" t="s">
        <v>78</v>
      </c>
      <c r="DH28" s="360" t="s">
        <v>78</v>
      </c>
      <c r="DI28" s="360" t="s">
        <v>78</v>
      </c>
      <c r="DJ28" s="17" t="s">
        <v>78</v>
      </c>
      <c r="DK28" s="17" t="s">
        <v>78</v>
      </c>
      <c r="DL28" s="17" t="s">
        <v>78</v>
      </c>
      <c r="DM28" s="17" t="s">
        <v>78</v>
      </c>
      <c r="DN28" s="17">
        <v>2.8E-3</v>
      </c>
      <c r="DO28" s="17" t="s">
        <v>78</v>
      </c>
      <c r="DP28" s="52" t="s">
        <v>78</v>
      </c>
      <c r="DQ28" s="8"/>
      <c r="DR28" s="8"/>
      <c r="DS28" s="8"/>
      <c r="DT28" s="8"/>
      <c r="DU28" s="8"/>
      <c r="DV28" s="8"/>
      <c r="DW28" s="8"/>
      <c r="DX28" s="8"/>
      <c r="DY28" s="8"/>
      <c r="DZ28" s="8"/>
      <c r="EA28" s="8"/>
      <c r="EB28" s="8"/>
    </row>
    <row r="29" spans="2:134" ht="16.5" x14ac:dyDescent="0.35">
      <c r="B29" s="18"/>
      <c r="C29" s="27"/>
      <c r="D29" s="9">
        <v>31502104</v>
      </c>
      <c r="E29" s="139" t="s">
        <v>435</v>
      </c>
      <c r="F29" s="144" t="s">
        <v>360</v>
      </c>
      <c r="G29" s="314" t="s">
        <v>437</v>
      </c>
      <c r="H29" s="542" t="s">
        <v>457</v>
      </c>
      <c r="I29" s="69"/>
      <c r="J29" s="69"/>
      <c r="K29" s="17">
        <v>5.8E-4</v>
      </c>
      <c r="L29" s="69" t="s">
        <v>78</v>
      </c>
      <c r="M29" s="238">
        <v>2.0000000000000002E-5</v>
      </c>
      <c r="N29" s="17">
        <v>1.6000000000000001E-4</v>
      </c>
      <c r="O29" s="17">
        <v>1.9000000000000001E-4</v>
      </c>
      <c r="P29" s="69">
        <v>5.1000000000000004E-4</v>
      </c>
      <c r="Q29" s="138" t="s">
        <v>78</v>
      </c>
      <c r="R29" s="23">
        <v>4.0000000000000002E-4</v>
      </c>
      <c r="S29" s="17">
        <v>9.7999999999999997E-4</v>
      </c>
      <c r="T29" s="17" t="s">
        <v>78</v>
      </c>
      <c r="U29" s="17" t="s">
        <v>78</v>
      </c>
      <c r="V29" s="69" t="s">
        <v>78</v>
      </c>
      <c r="W29" s="17">
        <v>5.6999999999999998E-4</v>
      </c>
      <c r="X29" s="69" t="s">
        <v>78</v>
      </c>
      <c r="Y29" s="17">
        <v>6.4999999999999997E-4</v>
      </c>
      <c r="Z29" s="17" t="s">
        <v>78</v>
      </c>
      <c r="AA29" s="17" t="s">
        <v>78</v>
      </c>
      <c r="AB29" s="17" t="s">
        <v>78</v>
      </c>
      <c r="AC29" s="77">
        <v>5.1999999999999995E-4</v>
      </c>
      <c r="AD29" s="151" t="s">
        <v>78</v>
      </c>
      <c r="AE29" s="69" t="s">
        <v>78</v>
      </c>
      <c r="AF29" s="17">
        <v>1.5E-3</v>
      </c>
      <c r="AG29" s="69" t="s">
        <v>78</v>
      </c>
      <c r="AH29" s="17" t="s">
        <v>78</v>
      </c>
      <c r="AI29" s="17" t="s">
        <v>78</v>
      </c>
      <c r="AJ29" s="17" t="s">
        <v>78</v>
      </c>
      <c r="AK29" s="69" t="s">
        <v>78</v>
      </c>
      <c r="AL29" s="17" t="s">
        <v>78</v>
      </c>
      <c r="AM29" s="17">
        <v>7.2000000000000005E-4</v>
      </c>
      <c r="AN29" s="17" t="s">
        <v>78</v>
      </c>
      <c r="AO29" s="17" t="s">
        <v>78</v>
      </c>
      <c r="AP29" s="69" t="s">
        <v>78</v>
      </c>
      <c r="AQ29" s="69" t="s">
        <v>78</v>
      </c>
      <c r="AR29" s="17" t="s">
        <v>78</v>
      </c>
      <c r="AS29" s="17" t="s">
        <v>78</v>
      </c>
      <c r="AT29" s="17" t="s">
        <v>78</v>
      </c>
      <c r="AU29" s="17" t="s">
        <v>78</v>
      </c>
      <c r="AV29" s="17" t="s">
        <v>78</v>
      </c>
      <c r="AW29" s="17" t="s">
        <v>78</v>
      </c>
      <c r="AX29" s="17" t="s">
        <v>78</v>
      </c>
      <c r="AY29" s="17" t="s">
        <v>78</v>
      </c>
      <c r="AZ29" s="69" t="s">
        <v>78</v>
      </c>
      <c r="BA29" s="17" t="s">
        <v>78</v>
      </c>
      <c r="BB29" s="17" t="s">
        <v>78</v>
      </c>
      <c r="BC29" s="69" t="s">
        <v>78</v>
      </c>
      <c r="BD29" s="69" t="s">
        <v>78</v>
      </c>
      <c r="BE29" s="17" t="s">
        <v>78</v>
      </c>
      <c r="BF29" s="17" t="s">
        <v>78</v>
      </c>
      <c r="BG29" s="17" t="s">
        <v>78</v>
      </c>
      <c r="BH29" s="17" t="s">
        <v>78</v>
      </c>
      <c r="BI29" s="17" t="s">
        <v>78</v>
      </c>
      <c r="BJ29" s="17" t="s">
        <v>78</v>
      </c>
      <c r="BK29" s="69" t="s">
        <v>78</v>
      </c>
      <c r="BL29" s="69" t="s">
        <v>78</v>
      </c>
      <c r="BM29" s="23">
        <v>4.0000000000000002E-4</v>
      </c>
      <c r="BN29" s="23" t="s">
        <v>78</v>
      </c>
      <c r="BO29" s="23" t="s">
        <v>78</v>
      </c>
      <c r="BP29" s="23" t="s">
        <v>78</v>
      </c>
      <c r="BQ29" s="23" t="s">
        <v>78</v>
      </c>
      <c r="BR29" s="23" t="s">
        <v>78</v>
      </c>
      <c r="BS29" s="23" t="s">
        <v>78</v>
      </c>
      <c r="BT29" s="23" t="s">
        <v>78</v>
      </c>
      <c r="BU29" s="23" t="s">
        <v>78</v>
      </c>
      <c r="BV29" s="23" t="s">
        <v>78</v>
      </c>
      <c r="BW29" s="23" t="s">
        <v>78</v>
      </c>
      <c r="BX29" s="17" t="s">
        <v>78</v>
      </c>
      <c r="BY29" s="17">
        <v>0.86</v>
      </c>
      <c r="BZ29" s="17">
        <v>7.7999999999999996E-3</v>
      </c>
      <c r="CA29" s="17" t="s">
        <v>78</v>
      </c>
      <c r="CB29" s="17" t="s">
        <v>78</v>
      </c>
      <c r="CC29" s="17" t="s">
        <v>78</v>
      </c>
      <c r="CD29" s="17" t="s">
        <v>78</v>
      </c>
      <c r="CE29" s="69" t="s">
        <v>78</v>
      </c>
      <c r="CF29" s="17" t="s">
        <v>78</v>
      </c>
      <c r="CG29" s="17" t="s">
        <v>78</v>
      </c>
      <c r="CH29" s="17" t="s">
        <v>78</v>
      </c>
      <c r="CI29" s="17" t="s">
        <v>78</v>
      </c>
      <c r="CJ29" s="69" t="s">
        <v>78</v>
      </c>
      <c r="CK29" s="17" t="s">
        <v>78</v>
      </c>
      <c r="CL29" s="17" t="s">
        <v>78</v>
      </c>
      <c r="CM29" s="17" t="s">
        <v>78</v>
      </c>
      <c r="CN29" s="238">
        <v>5.1999999999999997E-5</v>
      </c>
      <c r="CO29" s="17" t="s">
        <v>78</v>
      </c>
      <c r="CP29" s="17" t="s">
        <v>78</v>
      </c>
      <c r="CQ29" s="17" t="s">
        <v>78</v>
      </c>
      <c r="CR29" s="17" t="s">
        <v>78</v>
      </c>
      <c r="CS29" s="69" t="s">
        <v>78</v>
      </c>
      <c r="CT29" s="69" t="s">
        <v>78</v>
      </c>
      <c r="CU29" s="17" t="s">
        <v>78</v>
      </c>
      <c r="CV29" s="69" t="s">
        <v>78</v>
      </c>
      <c r="CW29" s="17" t="s">
        <v>78</v>
      </c>
      <c r="CX29" s="17" t="s">
        <v>78</v>
      </c>
      <c r="CY29" s="69" t="s">
        <v>78</v>
      </c>
      <c r="CZ29" s="69" t="s">
        <v>78</v>
      </c>
      <c r="DA29" s="17" t="s">
        <v>78</v>
      </c>
      <c r="DB29" s="17" t="s">
        <v>78</v>
      </c>
      <c r="DC29" s="17" t="s">
        <v>78</v>
      </c>
      <c r="DD29" s="17" t="s">
        <v>78</v>
      </c>
      <c r="DE29" s="17">
        <v>9.9000000000000008E-3</v>
      </c>
      <c r="DF29" s="17" t="s">
        <v>78</v>
      </c>
      <c r="DG29" s="17" t="s">
        <v>78</v>
      </c>
      <c r="DH29" s="360" t="s">
        <v>78</v>
      </c>
      <c r="DI29" s="360" t="s">
        <v>78</v>
      </c>
      <c r="DJ29" s="17" t="s">
        <v>78</v>
      </c>
      <c r="DK29" s="17" t="s">
        <v>78</v>
      </c>
      <c r="DL29" s="17" t="s">
        <v>78</v>
      </c>
      <c r="DM29" s="17" t="s">
        <v>78</v>
      </c>
      <c r="DN29" s="17">
        <v>2.8E-3</v>
      </c>
      <c r="DO29" s="17" t="s">
        <v>78</v>
      </c>
      <c r="DP29" s="52" t="s">
        <v>78</v>
      </c>
      <c r="DQ29" s="8"/>
      <c r="DR29" s="8"/>
      <c r="DS29" s="8"/>
      <c r="DT29" s="8"/>
      <c r="DU29" s="8"/>
      <c r="DV29" s="8"/>
      <c r="DW29" s="8"/>
      <c r="DX29" s="8"/>
      <c r="DY29" s="8"/>
      <c r="DZ29" s="8"/>
      <c r="EA29" s="8"/>
      <c r="EB29" s="8"/>
    </row>
    <row r="30" spans="2:134" ht="15" thickBot="1" x14ac:dyDescent="0.4">
      <c r="B30" s="33"/>
      <c r="C30" s="271"/>
      <c r="D30" s="357"/>
      <c r="E30" s="12"/>
      <c r="F30" s="80"/>
      <c r="G30" s="4"/>
      <c r="H30" s="531"/>
      <c r="I30" s="70"/>
      <c r="J30" s="70"/>
      <c r="K30" s="3"/>
      <c r="L30" s="70"/>
      <c r="M30" s="3"/>
      <c r="N30" s="3"/>
      <c r="O30" s="3"/>
      <c r="P30" s="70"/>
      <c r="Q30" s="325"/>
      <c r="R30" s="3"/>
      <c r="S30" s="3"/>
      <c r="T30" s="3"/>
      <c r="U30" s="3"/>
      <c r="V30" s="70"/>
      <c r="W30" s="3"/>
      <c r="X30" s="70"/>
      <c r="Y30" s="3"/>
      <c r="Z30" s="3"/>
      <c r="AA30" s="3"/>
      <c r="AB30" s="3"/>
      <c r="AC30" s="75"/>
      <c r="AD30" s="152"/>
      <c r="AE30" s="70"/>
      <c r="AF30" s="3"/>
      <c r="AG30" s="70"/>
      <c r="AH30" s="3"/>
      <c r="AI30" s="3"/>
      <c r="AJ30" s="3"/>
      <c r="AK30" s="70"/>
      <c r="AL30" s="3"/>
      <c r="AM30" s="3"/>
      <c r="AN30" s="3"/>
      <c r="AO30" s="3"/>
      <c r="AP30" s="70"/>
      <c r="AQ30" s="70"/>
      <c r="AR30" s="3"/>
      <c r="AS30" s="3"/>
      <c r="AT30" s="3"/>
      <c r="AU30" s="3"/>
      <c r="AV30" s="3"/>
      <c r="AW30" s="3"/>
      <c r="AX30" s="3"/>
      <c r="AY30" s="3"/>
      <c r="AZ30" s="70"/>
      <c r="BA30" s="3"/>
      <c r="BB30" s="3"/>
      <c r="BC30" s="70"/>
      <c r="BD30" s="70"/>
      <c r="BE30" s="3"/>
      <c r="BF30" s="3"/>
      <c r="BG30" s="3"/>
      <c r="BH30" s="3"/>
      <c r="BI30" s="3"/>
      <c r="BJ30" s="3"/>
      <c r="BK30" s="70"/>
      <c r="BL30" s="70"/>
      <c r="BM30" s="3"/>
      <c r="BN30" s="3"/>
      <c r="BO30" s="3"/>
      <c r="BP30" s="3"/>
      <c r="BQ30" s="3"/>
      <c r="BR30" s="3"/>
      <c r="BS30" s="3"/>
      <c r="BT30" s="3"/>
      <c r="BU30" s="3"/>
      <c r="BV30" s="3"/>
      <c r="BW30" s="3"/>
      <c r="BX30" s="3"/>
      <c r="BY30" s="3"/>
      <c r="BZ30" s="3"/>
      <c r="CA30" s="3"/>
      <c r="CB30" s="3"/>
      <c r="CC30" s="3"/>
      <c r="CD30" s="3"/>
      <c r="CE30" s="70"/>
      <c r="CF30" s="3"/>
      <c r="CG30" s="3"/>
      <c r="CH30" s="3"/>
      <c r="CI30" s="3"/>
      <c r="CJ30" s="70"/>
      <c r="CK30" s="3"/>
      <c r="CL30" s="3"/>
      <c r="CM30" s="3"/>
      <c r="CN30" s="3"/>
      <c r="CO30" s="3"/>
      <c r="CP30" s="3"/>
      <c r="CQ30" s="3"/>
      <c r="CR30" s="3"/>
      <c r="CS30" s="70"/>
      <c r="CT30" s="70"/>
      <c r="CU30" s="3"/>
      <c r="CV30" s="70"/>
      <c r="CW30" s="3"/>
      <c r="CX30" s="3"/>
      <c r="CY30" s="70"/>
      <c r="CZ30" s="70"/>
      <c r="DA30" s="3"/>
      <c r="DB30" s="3"/>
      <c r="DC30" s="3"/>
      <c r="DD30" s="3"/>
      <c r="DE30" s="3"/>
      <c r="DF30" s="3"/>
      <c r="DG30" s="3"/>
      <c r="DH30" s="70"/>
      <c r="DI30" s="70"/>
      <c r="DJ30" s="3"/>
      <c r="DK30" s="3"/>
      <c r="DL30" s="3"/>
      <c r="DM30" s="3"/>
      <c r="DN30" s="3"/>
      <c r="DO30" s="3"/>
      <c r="DP30" s="4"/>
      <c r="DQ30" s="8"/>
      <c r="DR30" s="8"/>
      <c r="DS30" s="8"/>
      <c r="DT30" s="8"/>
      <c r="DU30" s="8"/>
      <c r="DV30" s="8"/>
      <c r="DW30" s="8"/>
      <c r="DX30" s="8"/>
      <c r="DY30" s="8"/>
      <c r="DZ30" s="8"/>
      <c r="EA30" s="8"/>
      <c r="EB30" s="8"/>
    </row>
    <row r="31" spans="2:134" ht="15.75" customHeight="1" x14ac:dyDescent="0.35">
      <c r="B31" s="513"/>
      <c r="C31" s="507"/>
      <c r="D31" s="509"/>
      <c r="E31" s="449"/>
      <c r="F31" s="511"/>
      <c r="G31" s="450"/>
      <c r="H31" s="533"/>
      <c r="I31" s="451"/>
      <c r="J31" s="451"/>
      <c r="K31" s="452"/>
      <c r="L31" s="451"/>
      <c r="M31" s="453"/>
      <c r="N31" s="453"/>
      <c r="O31" s="453"/>
      <c r="P31" s="451"/>
      <c r="Q31" s="454"/>
      <c r="R31" s="453"/>
      <c r="S31" s="453"/>
      <c r="T31" s="453"/>
      <c r="U31" s="453"/>
      <c r="V31" s="451"/>
      <c r="W31" s="453"/>
      <c r="X31" s="451"/>
      <c r="Y31" s="453"/>
      <c r="Z31" s="453"/>
      <c r="AA31" s="453"/>
      <c r="AB31" s="453"/>
      <c r="AC31" s="455"/>
      <c r="AD31" s="456"/>
      <c r="AE31" s="451"/>
      <c r="AF31" s="453"/>
      <c r="AG31" s="451"/>
      <c r="AH31" s="453"/>
      <c r="AI31" s="453"/>
      <c r="AJ31" s="453"/>
      <c r="AK31" s="451"/>
      <c r="AL31" s="453"/>
      <c r="AM31" s="453"/>
      <c r="AN31" s="453"/>
      <c r="AO31" s="453"/>
      <c r="AP31" s="451"/>
      <c r="AQ31" s="451"/>
      <c r="AR31" s="453"/>
      <c r="AS31" s="453"/>
      <c r="AT31" s="453"/>
      <c r="AU31" s="453"/>
      <c r="AV31" s="453"/>
      <c r="AW31" s="453"/>
      <c r="AX31" s="453"/>
      <c r="AY31" s="453"/>
      <c r="AZ31" s="451"/>
      <c r="BA31" s="453"/>
      <c r="BB31" s="453"/>
      <c r="BC31" s="451"/>
      <c r="BD31" s="451"/>
      <c r="BE31" s="453"/>
      <c r="BF31" s="453"/>
      <c r="BG31" s="453"/>
      <c r="BH31" s="453"/>
      <c r="BI31" s="453"/>
      <c r="BJ31" s="453"/>
      <c r="BK31" s="96"/>
      <c r="BL31" s="96"/>
      <c r="BM31" s="454"/>
      <c r="BN31" s="453"/>
      <c r="BO31" s="453"/>
      <c r="BP31" s="453"/>
      <c r="BQ31" s="453"/>
      <c r="BR31" s="453"/>
      <c r="BS31" s="453"/>
      <c r="BT31" s="453"/>
      <c r="BU31" s="453"/>
      <c r="BV31" s="453"/>
      <c r="BW31" s="453"/>
      <c r="BX31" s="453"/>
      <c r="BY31" s="453"/>
      <c r="BZ31" s="453"/>
      <c r="CA31" s="453"/>
      <c r="CB31" s="453"/>
      <c r="CC31" s="453"/>
      <c r="CD31" s="453"/>
      <c r="CE31" s="453"/>
      <c r="CF31" s="453"/>
      <c r="CG31" s="454"/>
      <c r="CH31" s="453"/>
      <c r="CI31" s="453"/>
      <c r="CJ31" s="96"/>
      <c r="CK31" s="453"/>
      <c r="CL31" s="451"/>
      <c r="CM31" s="453"/>
      <c r="CN31" s="453"/>
      <c r="CO31" s="453"/>
      <c r="CP31" s="453"/>
      <c r="CQ31" s="453"/>
      <c r="CR31" s="453"/>
      <c r="CS31" s="96"/>
      <c r="CT31" s="96"/>
      <c r="CU31" s="451"/>
      <c r="CV31" s="451"/>
      <c r="CW31" s="453"/>
      <c r="CX31" s="451"/>
      <c r="CY31" s="96"/>
      <c r="CZ31" s="453"/>
      <c r="DA31" s="451"/>
      <c r="DB31" s="451"/>
      <c r="DC31" s="453"/>
      <c r="DD31" s="453"/>
      <c r="DE31" s="453"/>
      <c r="DF31" s="453"/>
      <c r="DG31" s="453"/>
      <c r="DH31" s="453"/>
      <c r="DI31" s="453"/>
      <c r="DJ31" s="451"/>
      <c r="DK31" s="451"/>
      <c r="DL31" s="453"/>
      <c r="DM31" s="453"/>
      <c r="DN31" s="453"/>
      <c r="DO31" s="453"/>
      <c r="DP31" s="20"/>
      <c r="DQ31" s="8"/>
      <c r="DR31" s="8"/>
      <c r="DS31" s="8"/>
      <c r="DT31" s="8"/>
      <c r="DU31" s="8"/>
      <c r="DV31" s="8"/>
      <c r="DW31" s="8"/>
      <c r="DX31" s="8"/>
      <c r="DY31" s="8"/>
      <c r="DZ31" s="8"/>
      <c r="EA31" s="8"/>
      <c r="EB31" s="8"/>
      <c r="EC31" s="8"/>
      <c r="ED31" s="8"/>
    </row>
    <row r="32" spans="2:134" ht="15.75" customHeight="1" x14ac:dyDescent="0.35">
      <c r="B32" s="457"/>
      <c r="C32" s="478" t="s">
        <v>377</v>
      </c>
      <c r="D32" s="479"/>
      <c r="E32" s="480"/>
      <c r="F32" s="481"/>
      <c r="G32" s="458"/>
      <c r="H32" s="534"/>
      <c r="I32" s="459"/>
      <c r="J32" s="459"/>
      <c r="K32" s="460"/>
      <c r="L32" s="459"/>
      <c r="M32" s="461"/>
      <c r="N32" s="461"/>
      <c r="O32" s="461"/>
      <c r="P32" s="459"/>
      <c r="Q32" s="462"/>
      <c r="R32" s="461"/>
      <c r="S32" s="461"/>
      <c r="T32" s="461"/>
      <c r="U32" s="461"/>
      <c r="V32" s="459"/>
      <c r="W32" s="461"/>
      <c r="X32" s="459"/>
      <c r="Y32" s="461"/>
      <c r="Z32" s="461"/>
      <c r="AA32" s="461"/>
      <c r="AB32" s="461"/>
      <c r="AC32" s="463"/>
      <c r="AD32" s="464"/>
      <c r="AE32" s="459"/>
      <c r="AF32" s="461"/>
      <c r="AG32" s="459"/>
      <c r="AH32" s="461"/>
      <c r="AI32" s="461"/>
      <c r="AJ32" s="461"/>
      <c r="AK32" s="459"/>
      <c r="AL32" s="461"/>
      <c r="AM32" s="461"/>
      <c r="AN32" s="461"/>
      <c r="AO32" s="461"/>
      <c r="AP32" s="459"/>
      <c r="AQ32" s="459"/>
      <c r="AR32" s="461"/>
      <c r="AS32" s="461"/>
      <c r="AT32" s="461"/>
      <c r="AU32" s="461"/>
      <c r="AV32" s="461"/>
      <c r="AW32" s="461"/>
      <c r="AX32" s="461"/>
      <c r="AY32" s="461"/>
      <c r="AZ32" s="459"/>
      <c r="BA32" s="461"/>
      <c r="BB32" s="461"/>
      <c r="BC32" s="459"/>
      <c r="BD32" s="459"/>
      <c r="BE32" s="461"/>
      <c r="BF32" s="461"/>
      <c r="BG32" s="461"/>
      <c r="BH32" s="461"/>
      <c r="BI32" s="461"/>
      <c r="BJ32" s="461"/>
      <c r="BK32" s="69"/>
      <c r="BL32" s="69"/>
      <c r="BM32" s="462"/>
      <c r="BN32" s="461"/>
      <c r="BO32" s="461"/>
      <c r="BP32" s="461"/>
      <c r="BQ32" s="461"/>
      <c r="BR32" s="461"/>
      <c r="BS32" s="461"/>
      <c r="BT32" s="461"/>
      <c r="BU32" s="461"/>
      <c r="BV32" s="461"/>
      <c r="BW32" s="461"/>
      <c r="BX32" s="461"/>
      <c r="BY32" s="461"/>
      <c r="BZ32" s="461"/>
      <c r="CA32" s="461"/>
      <c r="CB32" s="461"/>
      <c r="CC32" s="461"/>
      <c r="CD32" s="461"/>
      <c r="CE32" s="461"/>
      <c r="CF32" s="461"/>
      <c r="CG32" s="462"/>
      <c r="CH32" s="461"/>
      <c r="CI32" s="461"/>
      <c r="CJ32" s="69"/>
      <c r="CK32" s="461"/>
      <c r="CL32" s="459"/>
      <c r="CM32" s="461"/>
      <c r="CN32" s="461"/>
      <c r="CO32" s="461"/>
      <c r="CP32" s="461"/>
      <c r="CQ32" s="461"/>
      <c r="CR32" s="461"/>
      <c r="CS32" s="69"/>
      <c r="CT32" s="69"/>
      <c r="CU32" s="459"/>
      <c r="CV32" s="459"/>
      <c r="CW32" s="461"/>
      <c r="CX32" s="459"/>
      <c r="CY32" s="69"/>
      <c r="CZ32" s="461"/>
      <c r="DA32" s="459"/>
      <c r="DB32" s="459"/>
      <c r="DC32" s="461"/>
      <c r="DD32" s="461"/>
      <c r="DE32" s="461"/>
      <c r="DF32" s="461"/>
      <c r="DG32" s="461"/>
      <c r="DH32" s="461"/>
      <c r="DI32" s="461"/>
      <c r="DJ32" s="459"/>
      <c r="DK32" s="459"/>
      <c r="DL32" s="461"/>
      <c r="DM32" s="461"/>
      <c r="DN32" s="461"/>
      <c r="DO32" s="461"/>
      <c r="DP32" s="52"/>
      <c r="DQ32" s="8"/>
      <c r="DR32" s="8"/>
      <c r="DS32" s="8"/>
      <c r="DT32" s="8"/>
      <c r="DU32" s="8"/>
      <c r="DV32" s="8"/>
      <c r="DW32" s="8"/>
      <c r="DX32" s="8"/>
      <c r="DY32" s="8"/>
      <c r="DZ32" s="8"/>
      <c r="EA32" s="8"/>
      <c r="EB32" s="8"/>
      <c r="EC32" s="8"/>
      <c r="ED32" s="8"/>
    </row>
    <row r="33" spans="2:161" ht="16.5" x14ac:dyDescent="0.35">
      <c r="B33" s="42"/>
      <c r="C33" s="292"/>
      <c r="D33" s="41">
        <v>50300789</v>
      </c>
      <c r="E33" s="141" t="s">
        <v>378</v>
      </c>
      <c r="F33" s="54" t="s">
        <v>436</v>
      </c>
      <c r="G33" s="314" t="s">
        <v>146</v>
      </c>
      <c r="H33" s="542" t="s">
        <v>457</v>
      </c>
      <c r="I33" s="466" t="s">
        <v>78</v>
      </c>
      <c r="J33" s="466" t="s">
        <v>78</v>
      </c>
      <c r="K33" s="467">
        <v>2.0000000000000001E-4</v>
      </c>
      <c r="L33" s="135">
        <v>4.4000000000000003E-3</v>
      </c>
      <c r="M33" s="95">
        <v>1.2E-5</v>
      </c>
      <c r="N33" s="95">
        <v>1.1000000000000001E-3</v>
      </c>
      <c r="O33" s="468" t="s">
        <v>78</v>
      </c>
      <c r="P33" s="135">
        <v>1.4E-3</v>
      </c>
      <c r="Q33" s="380">
        <v>8.3999999999999995E-5</v>
      </c>
      <c r="R33" s="95">
        <v>8.4999999999999995E-4</v>
      </c>
      <c r="S33" s="95">
        <v>5.0000000000000001E-4</v>
      </c>
      <c r="T33" s="95">
        <v>3.8000000000000002E-4</v>
      </c>
      <c r="U33" s="95">
        <v>2.5999999999999998E-4</v>
      </c>
      <c r="V33" s="135">
        <v>1.1000000000000001E-3</v>
      </c>
      <c r="W33" s="95">
        <v>2.0999999999999999E-3</v>
      </c>
      <c r="X33" s="466" t="s">
        <v>78</v>
      </c>
      <c r="Y33" s="95">
        <v>2.4000000000000001E-5</v>
      </c>
      <c r="Z33" s="204" t="s">
        <v>78</v>
      </c>
      <c r="AA33" s="204" t="s">
        <v>78</v>
      </c>
      <c r="AB33" s="95">
        <v>2.3E-3</v>
      </c>
      <c r="AC33" s="417">
        <v>2.9000000000000001E-2</v>
      </c>
      <c r="AD33" s="465" t="s">
        <v>78</v>
      </c>
      <c r="AE33" s="466" t="s">
        <v>78</v>
      </c>
      <c r="AF33" s="95">
        <v>4.2999999999999997E-2</v>
      </c>
      <c r="AG33" s="466" t="s">
        <v>78</v>
      </c>
      <c r="AH33" s="95">
        <v>0.01</v>
      </c>
      <c r="AI33" s="204" t="s">
        <v>78</v>
      </c>
      <c r="AJ33" s="60">
        <v>4.7999999999999996E-3</v>
      </c>
      <c r="AK33" s="466" t="s">
        <v>78</v>
      </c>
      <c r="AL33" s="204" t="s">
        <v>78</v>
      </c>
      <c r="AM33" s="95">
        <v>0.159</v>
      </c>
      <c r="AN33" s="204" t="s">
        <v>78</v>
      </c>
      <c r="AO33" s="204" t="s">
        <v>78</v>
      </c>
      <c r="AP33" s="466" t="s">
        <v>78</v>
      </c>
      <c r="AQ33" s="466" t="s">
        <v>78</v>
      </c>
      <c r="AR33" s="204" t="s">
        <v>78</v>
      </c>
      <c r="AS33" s="204" t="s">
        <v>78</v>
      </c>
      <c r="AT33" s="204" t="s">
        <v>78</v>
      </c>
      <c r="AU33" s="204" t="s">
        <v>78</v>
      </c>
      <c r="AV33" s="204" t="s">
        <v>78</v>
      </c>
      <c r="AW33" s="95">
        <v>2.0000000000000001E-4</v>
      </c>
      <c r="AX33" s="204" t="s">
        <v>78</v>
      </c>
      <c r="AY33" s="204" t="s">
        <v>78</v>
      </c>
      <c r="AZ33" s="459" t="s">
        <v>78</v>
      </c>
      <c r="BA33" s="204" t="s">
        <v>78</v>
      </c>
      <c r="BB33" s="204" t="s">
        <v>78</v>
      </c>
      <c r="BC33" s="469" t="s">
        <v>78</v>
      </c>
      <c r="BD33" s="469" t="s">
        <v>78</v>
      </c>
      <c r="BE33" s="60">
        <v>1.8E-3</v>
      </c>
      <c r="BF33" s="204" t="s">
        <v>78</v>
      </c>
      <c r="BG33" s="92">
        <v>1.4450000000000001</v>
      </c>
      <c r="BH33" s="204" t="s">
        <v>78</v>
      </c>
      <c r="BI33" s="204" t="s">
        <v>78</v>
      </c>
      <c r="BJ33" s="60">
        <v>1.4E-3</v>
      </c>
      <c r="BK33" s="69" t="s">
        <v>78</v>
      </c>
      <c r="BL33" s="69" t="s">
        <v>78</v>
      </c>
      <c r="BM33" s="543">
        <v>1.169</v>
      </c>
      <c r="BN33" s="204" t="s">
        <v>78</v>
      </c>
      <c r="BO33" s="204" t="s">
        <v>78</v>
      </c>
      <c r="BP33" s="204" t="s">
        <v>78</v>
      </c>
      <c r="BQ33" s="204" t="s">
        <v>78</v>
      </c>
      <c r="BR33" s="204" t="s">
        <v>78</v>
      </c>
      <c r="BS33" s="204" t="s">
        <v>78</v>
      </c>
      <c r="BT33" s="204" t="s">
        <v>78</v>
      </c>
      <c r="BU33" s="204" t="s">
        <v>78</v>
      </c>
      <c r="BV33" s="204" t="s">
        <v>78</v>
      </c>
      <c r="BW33" s="204" t="s">
        <v>78</v>
      </c>
      <c r="BX33" s="92">
        <v>2.9000000000000001E-2</v>
      </c>
      <c r="BY33" s="60">
        <v>0.64549999999999996</v>
      </c>
      <c r="BZ33" s="204" t="s">
        <v>78</v>
      </c>
      <c r="CA33" s="60">
        <v>2.1499999999999998E-2</v>
      </c>
      <c r="CB33" s="204" t="s">
        <v>78</v>
      </c>
      <c r="CC33" s="204" t="s">
        <v>78</v>
      </c>
      <c r="CD33" s="204" t="s">
        <v>78</v>
      </c>
      <c r="CE33" s="459" t="s">
        <v>78</v>
      </c>
      <c r="CF33" s="380">
        <v>1E-4</v>
      </c>
      <c r="CG33" s="380">
        <v>1E-4</v>
      </c>
      <c r="CH33" s="17" t="s">
        <v>78</v>
      </c>
      <c r="CI33" s="95">
        <v>1E-4</v>
      </c>
      <c r="CJ33" s="459" t="s">
        <v>78</v>
      </c>
      <c r="CK33" s="92">
        <v>1.0999999999999999E-2</v>
      </c>
      <c r="CL33" s="204" t="s">
        <v>78</v>
      </c>
      <c r="CM33" s="204" t="s">
        <v>78</v>
      </c>
      <c r="CN33" s="92">
        <v>3.0000000000000001E-3</v>
      </c>
      <c r="CO33" s="204" t="s">
        <v>78</v>
      </c>
      <c r="CP33" s="204" t="s">
        <v>78</v>
      </c>
      <c r="CQ33" s="204" t="s">
        <v>78</v>
      </c>
      <c r="CR33" s="95">
        <v>5.0000000000000001E-4</v>
      </c>
      <c r="CS33" s="459" t="s">
        <v>78</v>
      </c>
      <c r="CT33" s="459" t="s">
        <v>78</v>
      </c>
      <c r="CU33" s="204" t="s">
        <v>78</v>
      </c>
      <c r="CV33" s="459" t="s">
        <v>78</v>
      </c>
      <c r="CW33" s="93">
        <v>2.44</v>
      </c>
      <c r="CX33" s="204" t="s">
        <v>78</v>
      </c>
      <c r="CY33" s="459" t="s">
        <v>78</v>
      </c>
      <c r="CZ33" s="459" t="s">
        <v>78</v>
      </c>
      <c r="DA33" s="204" t="s">
        <v>78</v>
      </c>
      <c r="DB33" s="204" t="s">
        <v>78</v>
      </c>
      <c r="DC33" s="204" t="s">
        <v>78</v>
      </c>
      <c r="DD33" s="204" t="s">
        <v>78</v>
      </c>
      <c r="DE33" s="92">
        <v>5.8000000000000003E-2</v>
      </c>
      <c r="DF33" s="95">
        <v>2.9999999999999997E-4</v>
      </c>
      <c r="DG33" s="204" t="s">
        <v>78</v>
      </c>
      <c r="DH33" s="459" t="s">
        <v>78</v>
      </c>
      <c r="DI33" s="459" t="s">
        <v>78</v>
      </c>
      <c r="DJ33" s="204" t="s">
        <v>78</v>
      </c>
      <c r="DK33" s="204" t="s">
        <v>78</v>
      </c>
      <c r="DL33" s="204" t="s">
        <v>78</v>
      </c>
      <c r="DM33" s="204" t="s">
        <v>78</v>
      </c>
      <c r="DN33" s="60">
        <v>3.3500000000000002E-2</v>
      </c>
      <c r="DO33" s="204" t="s">
        <v>78</v>
      </c>
      <c r="DP33" s="52" t="s">
        <v>78</v>
      </c>
      <c r="DQ33" s="384"/>
      <c r="DR33" s="8"/>
      <c r="DS33" s="8"/>
      <c r="DT33" s="8"/>
      <c r="DU33" s="8"/>
      <c r="DV33" s="8"/>
      <c r="DW33" s="8"/>
      <c r="DX33" s="8"/>
      <c r="DY33" s="8"/>
      <c r="DZ33" s="8"/>
      <c r="EA33" s="8"/>
    </row>
    <row r="34" spans="2:161" ht="15.75" customHeight="1" thickBot="1" x14ac:dyDescent="0.4">
      <c r="B34" s="514"/>
      <c r="C34" s="508"/>
      <c r="D34" s="510"/>
      <c r="E34" s="470"/>
      <c r="F34" s="512"/>
      <c r="G34" s="471"/>
      <c r="H34" s="535"/>
      <c r="I34" s="472"/>
      <c r="J34" s="472"/>
      <c r="K34" s="473"/>
      <c r="L34" s="472"/>
      <c r="M34" s="474"/>
      <c r="N34" s="474"/>
      <c r="O34" s="474"/>
      <c r="P34" s="472"/>
      <c r="Q34" s="475"/>
      <c r="R34" s="474"/>
      <c r="S34" s="474"/>
      <c r="T34" s="474"/>
      <c r="U34" s="474"/>
      <c r="V34" s="472"/>
      <c r="W34" s="474"/>
      <c r="X34" s="472"/>
      <c r="Y34" s="474"/>
      <c r="Z34" s="474"/>
      <c r="AA34" s="474"/>
      <c r="AB34" s="474"/>
      <c r="AC34" s="476"/>
      <c r="AD34" s="477"/>
      <c r="AE34" s="472"/>
      <c r="AF34" s="474"/>
      <c r="AG34" s="472"/>
      <c r="AH34" s="474"/>
      <c r="AI34" s="474"/>
      <c r="AJ34" s="474"/>
      <c r="AK34" s="472"/>
      <c r="AL34" s="474"/>
      <c r="AM34" s="474"/>
      <c r="AN34" s="474"/>
      <c r="AO34" s="474"/>
      <c r="AP34" s="472"/>
      <c r="AQ34" s="472"/>
      <c r="AR34" s="474"/>
      <c r="AS34" s="474"/>
      <c r="AT34" s="474"/>
      <c r="AU34" s="474"/>
      <c r="AV34" s="474"/>
      <c r="AW34" s="474"/>
      <c r="AX34" s="474"/>
      <c r="AY34" s="474"/>
      <c r="AZ34" s="472"/>
      <c r="BA34" s="474"/>
      <c r="BB34" s="474"/>
      <c r="BC34" s="472"/>
      <c r="BD34" s="472"/>
      <c r="BE34" s="474"/>
      <c r="BF34" s="474"/>
      <c r="BG34" s="474"/>
      <c r="BH34" s="474"/>
      <c r="BI34" s="474"/>
      <c r="BJ34" s="474"/>
      <c r="BK34" s="70"/>
      <c r="BL34" s="70"/>
      <c r="BM34" s="475"/>
      <c r="BN34" s="474"/>
      <c r="BO34" s="474"/>
      <c r="BP34" s="474"/>
      <c r="BQ34" s="474"/>
      <c r="BR34" s="474"/>
      <c r="BS34" s="474"/>
      <c r="BT34" s="474"/>
      <c r="BU34" s="474"/>
      <c r="BV34" s="474"/>
      <c r="BW34" s="474"/>
      <c r="BX34" s="474"/>
      <c r="BY34" s="474"/>
      <c r="BZ34" s="474"/>
      <c r="CA34" s="474"/>
      <c r="CB34" s="474"/>
      <c r="CC34" s="474"/>
      <c r="CD34" s="474"/>
      <c r="CE34" s="474"/>
      <c r="CF34" s="474"/>
      <c r="CG34" s="475"/>
      <c r="CH34" s="474"/>
      <c r="CI34" s="474"/>
      <c r="CJ34" s="70"/>
      <c r="CK34" s="474"/>
      <c r="CL34" s="472"/>
      <c r="CM34" s="474"/>
      <c r="CN34" s="474"/>
      <c r="CO34" s="474"/>
      <c r="CP34" s="474"/>
      <c r="CQ34" s="474"/>
      <c r="CR34" s="474"/>
      <c r="CS34" s="70"/>
      <c r="CT34" s="70"/>
      <c r="CU34" s="472"/>
      <c r="CV34" s="472"/>
      <c r="CW34" s="474"/>
      <c r="CX34" s="472"/>
      <c r="CY34" s="70"/>
      <c r="CZ34" s="474"/>
      <c r="DA34" s="472"/>
      <c r="DB34" s="472"/>
      <c r="DC34" s="474"/>
      <c r="DD34" s="474"/>
      <c r="DE34" s="474"/>
      <c r="DF34" s="474"/>
      <c r="DG34" s="474"/>
      <c r="DH34" s="474"/>
      <c r="DI34" s="474"/>
      <c r="DJ34" s="472"/>
      <c r="DK34" s="472"/>
      <c r="DL34" s="474"/>
      <c r="DM34" s="474"/>
      <c r="DN34" s="474"/>
      <c r="DO34" s="474"/>
      <c r="DP34" s="4"/>
      <c r="DQ34" s="8"/>
      <c r="DR34" s="8"/>
      <c r="DS34" s="8"/>
      <c r="DT34" s="8"/>
      <c r="DU34" s="8"/>
      <c r="DV34" s="8"/>
      <c r="DW34" s="8"/>
      <c r="DX34" s="8"/>
      <c r="DY34" s="8"/>
      <c r="DZ34" s="8"/>
      <c r="EA34" s="8"/>
      <c r="EB34" s="8"/>
      <c r="EC34" s="8"/>
      <c r="ED34" s="8"/>
    </row>
    <row r="35" spans="2:161" x14ac:dyDescent="0.35">
      <c r="B35" s="27"/>
      <c r="C35" s="27"/>
      <c r="D35" s="16"/>
      <c r="E35" s="16"/>
      <c r="F35" s="24"/>
      <c r="G35" s="8"/>
      <c r="H35" s="8"/>
      <c r="I35" s="8"/>
      <c r="J35" s="8"/>
      <c r="K35" s="8"/>
      <c r="L35" s="8"/>
      <c r="M35" s="8"/>
      <c r="N35" s="8"/>
      <c r="O35" s="8"/>
      <c r="P35" s="8"/>
      <c r="R35" s="8"/>
      <c r="S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L35" s="8"/>
      <c r="DM35" s="8"/>
      <c r="DN35" s="8"/>
      <c r="DO35" s="8"/>
      <c r="DP35" s="8"/>
      <c r="DQ35" s="8"/>
      <c r="DR35" s="8"/>
      <c r="DS35" s="8"/>
      <c r="DT35" s="8"/>
      <c r="DU35" s="8"/>
      <c r="DV35" s="8"/>
      <c r="DW35" s="8"/>
      <c r="DX35" s="8"/>
      <c r="DY35" s="8"/>
      <c r="DZ35" s="8"/>
      <c r="EA35" s="8"/>
      <c r="EB35" s="8"/>
    </row>
    <row r="36" spans="2:161" x14ac:dyDescent="0.35">
      <c r="B36" s="293" t="s">
        <v>143</v>
      </c>
      <c r="C36" s="293"/>
      <c r="D36" s="16"/>
      <c r="E36" s="16"/>
      <c r="F36" s="24"/>
      <c r="G36" s="8"/>
      <c r="H36" s="8"/>
      <c r="I36" s="8"/>
      <c r="J36" s="8"/>
      <c r="K36" s="8"/>
      <c r="L36" s="8"/>
      <c r="M36" s="8"/>
      <c r="N36" s="8"/>
      <c r="O36" s="8"/>
      <c r="P36" s="8"/>
      <c r="R36" s="8"/>
      <c r="S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L36" s="8"/>
      <c r="DM36" s="8"/>
      <c r="DN36" s="8"/>
      <c r="DO36" s="8"/>
      <c r="DP36" s="8"/>
      <c r="DQ36" s="8"/>
      <c r="DR36" s="24"/>
      <c r="DS36" s="8"/>
      <c r="DT36" s="8"/>
      <c r="DU36" s="8"/>
      <c r="DV36" s="8"/>
      <c r="DW36" s="8"/>
      <c r="DX36" s="8"/>
      <c r="DY36" s="8"/>
      <c r="DZ36" s="8"/>
      <c r="EA36" s="8"/>
      <c r="EB36" s="8"/>
      <c r="EC36" s="8"/>
      <c r="ED36" s="8"/>
      <c r="EE36" s="8"/>
      <c r="EF36" s="8"/>
    </row>
    <row r="37" spans="2:161" x14ac:dyDescent="0.35">
      <c r="B37" s="298" t="s">
        <v>256</v>
      </c>
      <c r="C37" s="551" t="s">
        <v>289</v>
      </c>
      <c r="D37" s="551"/>
      <c r="E37" s="551"/>
      <c r="F37" s="551"/>
      <c r="G37" s="551"/>
      <c r="H37" s="505"/>
      <c r="I37" s="121"/>
      <c r="J37" s="121"/>
      <c r="K37" s="24"/>
      <c r="L37" s="24"/>
      <c r="M37" s="24"/>
      <c r="N37" s="24"/>
      <c r="O37" s="24"/>
      <c r="P37" s="24"/>
      <c r="Q37" s="32"/>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17"/>
      <c r="CJ37" s="17"/>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row>
    <row r="38" spans="2:161" x14ac:dyDescent="0.35">
      <c r="B38" s="298"/>
      <c r="C38" s="286" t="s">
        <v>136</v>
      </c>
      <c r="D38" s="387"/>
      <c r="E38" s="437"/>
      <c r="F38" s="388"/>
      <c r="G38" s="121"/>
      <c r="H38" s="121"/>
      <c r="I38" s="121"/>
      <c r="J38" s="121"/>
      <c r="K38" s="24"/>
      <c r="L38" s="24"/>
      <c r="M38" s="24"/>
      <c r="N38" s="24"/>
      <c r="O38" s="24"/>
      <c r="P38" s="24"/>
      <c r="Q38" s="32"/>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row>
    <row r="39" spans="2:161" x14ac:dyDescent="0.35">
      <c r="B39" s="298" t="s">
        <v>263</v>
      </c>
      <c r="C39" s="288" t="s">
        <v>260</v>
      </c>
      <c r="D39" s="389"/>
      <c r="E39" s="389"/>
      <c r="F39" s="388"/>
      <c r="G39" s="121"/>
      <c r="H39" s="121"/>
      <c r="I39" s="121"/>
      <c r="J39" s="121"/>
      <c r="K39" s="24"/>
      <c r="L39" s="24"/>
      <c r="M39" s="24"/>
      <c r="N39" s="24"/>
      <c r="O39" s="24"/>
      <c r="P39" s="24"/>
      <c r="Q39" s="32"/>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row>
    <row r="40" spans="2:161" x14ac:dyDescent="0.35">
      <c r="B40" s="298"/>
      <c r="C40" s="286" t="s">
        <v>149</v>
      </c>
      <c r="D40" s="387"/>
      <c r="E40" s="437"/>
      <c r="F40" s="388"/>
      <c r="G40" s="121"/>
      <c r="H40" s="121"/>
      <c r="I40" s="121"/>
      <c r="J40" s="121"/>
      <c r="K40" s="24"/>
      <c r="L40" s="24"/>
      <c r="M40" s="24"/>
      <c r="N40" s="24"/>
      <c r="O40" s="24"/>
      <c r="P40" s="24"/>
      <c r="Q40" s="32"/>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row>
    <row r="41" spans="2:161" x14ac:dyDescent="0.35">
      <c r="B41" s="298" t="s">
        <v>264</v>
      </c>
      <c r="C41" s="288" t="s">
        <v>397</v>
      </c>
      <c r="D41" s="387"/>
      <c r="E41" s="437"/>
      <c r="F41" s="388"/>
      <c r="G41" s="121"/>
      <c r="H41" s="121"/>
      <c r="I41" s="121"/>
      <c r="J41" s="121"/>
      <c r="K41" s="24"/>
      <c r="L41" s="24"/>
      <c r="M41" s="24"/>
      <c r="N41" s="24"/>
      <c r="O41" s="24"/>
      <c r="P41" s="24"/>
      <c r="Q41" s="32"/>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row>
    <row r="42" spans="2:161" x14ac:dyDescent="0.35">
      <c r="B42" s="297"/>
      <c r="C42" s="347" t="s">
        <v>398</v>
      </c>
      <c r="D42" s="387"/>
      <c r="E42" s="437"/>
      <c r="F42" s="388"/>
      <c r="G42" s="121"/>
      <c r="H42" s="121"/>
      <c r="I42" s="121"/>
      <c r="J42" s="121"/>
      <c r="K42" s="24"/>
      <c r="L42" s="24"/>
      <c r="M42" s="24"/>
      <c r="N42" s="24"/>
      <c r="O42" s="24"/>
      <c r="P42" s="24"/>
      <c r="Q42" s="32"/>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row>
    <row r="43" spans="2:161" x14ac:dyDescent="0.35">
      <c r="B43" s="298" t="s">
        <v>265</v>
      </c>
      <c r="C43" s="284" t="s">
        <v>400</v>
      </c>
      <c r="D43" s="136"/>
      <c r="E43" s="136"/>
      <c r="F43" s="136"/>
      <c r="G43" s="136"/>
      <c r="H43" s="136"/>
      <c r="I43" s="221"/>
      <c r="J43" s="221"/>
      <c r="K43" s="8"/>
      <c r="L43" s="8"/>
      <c r="M43" s="8"/>
      <c r="N43" s="8"/>
      <c r="O43" s="8"/>
      <c r="P43" s="8"/>
      <c r="R43" s="8"/>
      <c r="S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F43" s="8"/>
      <c r="BG43" s="8"/>
      <c r="BH43" s="8"/>
      <c r="BI43" s="8"/>
      <c r="BJ43" s="8"/>
      <c r="BK43" s="8"/>
      <c r="BL43" s="8"/>
      <c r="BM43" s="8"/>
      <c r="BN43" s="8"/>
      <c r="BO43" s="8"/>
      <c r="BP43" s="8"/>
      <c r="BQ43" s="8"/>
      <c r="BR43" s="8"/>
      <c r="BS43" s="8"/>
      <c r="BT43" s="8"/>
      <c r="BU43" s="8"/>
      <c r="BV43" s="8"/>
      <c r="BW43" s="8"/>
      <c r="BX43" s="8"/>
      <c r="BY43" s="8"/>
      <c r="BZ43" s="17"/>
      <c r="CA43" s="17"/>
      <c r="CB43" s="17"/>
      <c r="CC43" s="17"/>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L43" s="8"/>
      <c r="DM43" s="8"/>
      <c r="DN43" s="8"/>
      <c r="DO43" s="8"/>
      <c r="DP43" s="8"/>
      <c r="DQ43" s="8"/>
      <c r="DR43" s="24"/>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row>
    <row r="44" spans="2:161" x14ac:dyDescent="0.35">
      <c r="B44" s="298"/>
      <c r="C44" s="286" t="s">
        <v>214</v>
      </c>
      <c r="D44" s="221"/>
      <c r="E44" s="221"/>
      <c r="F44" s="221"/>
      <c r="G44" s="221"/>
      <c r="H44" s="221"/>
      <c r="I44" s="221"/>
      <c r="J44" s="221"/>
      <c r="K44" s="8"/>
      <c r="L44" s="8"/>
      <c r="M44" s="8"/>
      <c r="N44" s="8"/>
      <c r="O44" s="8"/>
      <c r="P44" s="8"/>
      <c r="R44" s="8"/>
      <c r="S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F44" s="8"/>
      <c r="BG44" s="8"/>
      <c r="BH44" s="8"/>
      <c r="BI44" s="8"/>
      <c r="BJ44" s="8"/>
      <c r="BK44" s="8"/>
      <c r="BL44" s="8"/>
      <c r="BM44" s="8"/>
      <c r="BN44" s="8"/>
      <c r="BO44" s="8"/>
      <c r="BP44" s="8"/>
      <c r="BQ44" s="8"/>
      <c r="BR44" s="8"/>
      <c r="BS44" s="8"/>
      <c r="BT44" s="8"/>
      <c r="BU44" s="8"/>
      <c r="BV44" s="8"/>
      <c r="BW44" s="8"/>
      <c r="BX44" s="8"/>
      <c r="BY44" s="8"/>
      <c r="BZ44" s="17"/>
      <c r="CA44" s="17"/>
      <c r="CB44" s="17"/>
      <c r="CC44" s="17"/>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L44" s="8"/>
      <c r="DM44" s="8"/>
      <c r="DN44" s="8"/>
      <c r="DO44" s="8"/>
      <c r="DP44" s="8"/>
      <c r="DQ44" s="8"/>
      <c r="DR44" s="24"/>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row>
    <row r="45" spans="2:161" ht="27" customHeight="1" x14ac:dyDescent="0.35">
      <c r="B45" s="298" t="s">
        <v>266</v>
      </c>
      <c r="C45" s="551" t="s">
        <v>461</v>
      </c>
      <c r="D45" s="551"/>
      <c r="E45" s="551"/>
      <c r="F45" s="551"/>
      <c r="G45" s="551"/>
      <c r="H45" s="505"/>
      <c r="I45" s="221"/>
      <c r="J45" s="221"/>
      <c r="K45" s="8"/>
      <c r="L45" s="8"/>
      <c r="M45" s="8"/>
      <c r="N45" s="8"/>
      <c r="O45" s="8"/>
      <c r="P45" s="8"/>
      <c r="R45" s="8"/>
      <c r="S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F45" s="8"/>
      <c r="BG45" s="8"/>
      <c r="BH45" s="8"/>
      <c r="BI45" s="8"/>
      <c r="BJ45" s="8"/>
      <c r="BK45" s="8"/>
      <c r="BL45" s="8"/>
      <c r="BM45" s="8"/>
      <c r="BN45" s="8"/>
      <c r="BO45" s="8"/>
      <c r="BP45" s="8"/>
      <c r="BQ45" s="8"/>
      <c r="BR45" s="8"/>
      <c r="BS45" s="8"/>
      <c r="BT45" s="8"/>
      <c r="BU45" s="8"/>
      <c r="BV45" s="8"/>
      <c r="BW45" s="8"/>
      <c r="BX45" s="8"/>
      <c r="BY45" s="8"/>
      <c r="BZ45" s="17"/>
      <c r="CA45" s="17"/>
      <c r="CB45" s="17"/>
      <c r="CC45" s="17"/>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L45" s="8"/>
      <c r="DM45" s="8"/>
      <c r="DN45" s="8"/>
      <c r="DO45" s="8"/>
      <c r="DP45" s="8"/>
      <c r="DQ45" s="8"/>
      <c r="DR45" s="24"/>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row>
    <row r="46" spans="2:161" x14ac:dyDescent="0.35">
      <c r="B46" s="298"/>
      <c r="C46" s="286" t="s">
        <v>405</v>
      </c>
      <c r="D46" s="387"/>
      <c r="E46" s="437"/>
      <c r="F46" s="388"/>
      <c r="G46" s="121"/>
      <c r="H46" s="121"/>
      <c r="I46" s="121"/>
      <c r="J46" s="121"/>
      <c r="K46" s="8"/>
      <c r="L46" s="8"/>
      <c r="M46" s="8"/>
      <c r="N46" s="8"/>
      <c r="O46" s="8"/>
      <c r="P46" s="8"/>
      <c r="R46" s="8"/>
      <c r="S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F46" s="8"/>
      <c r="BG46" s="8"/>
      <c r="BH46" s="8"/>
      <c r="BI46" s="8"/>
      <c r="BJ46" s="8"/>
      <c r="BK46" s="8"/>
      <c r="BL46" s="8"/>
      <c r="BM46" s="8"/>
      <c r="BN46" s="8"/>
      <c r="BO46" s="8"/>
      <c r="BP46" s="8"/>
      <c r="BQ46" s="8"/>
      <c r="BR46" s="8"/>
      <c r="BS46" s="8"/>
      <c r="BT46" s="8"/>
      <c r="BU46" s="8"/>
      <c r="BV46" s="8"/>
      <c r="BW46" s="8"/>
      <c r="BX46" s="8"/>
      <c r="BY46" s="8"/>
      <c r="BZ46" s="17"/>
      <c r="CA46" s="17"/>
      <c r="CB46" s="17"/>
      <c r="CC46" s="17"/>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L46" s="8"/>
      <c r="DM46" s="8"/>
      <c r="DN46" s="8"/>
      <c r="DO46" s="8"/>
      <c r="DP46" s="8"/>
      <c r="DQ46" s="8"/>
      <c r="DR46" s="24"/>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row>
    <row r="47" spans="2:161" x14ac:dyDescent="0.35">
      <c r="B47" s="298" t="s">
        <v>267</v>
      </c>
      <c r="C47" s="284" t="s">
        <v>412</v>
      </c>
      <c r="D47" s="136"/>
      <c r="E47" s="136"/>
      <c r="F47" s="136"/>
      <c r="G47" s="136"/>
      <c r="H47" s="136"/>
      <c r="I47" s="221"/>
      <c r="J47" s="221"/>
      <c r="K47" s="8"/>
      <c r="L47" s="8"/>
      <c r="M47" s="8"/>
      <c r="N47" s="8"/>
      <c r="O47" s="8"/>
      <c r="P47" s="8"/>
      <c r="R47" s="8"/>
      <c r="S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L47" s="8"/>
      <c r="DM47" s="8"/>
      <c r="DN47" s="8"/>
      <c r="DO47" s="8"/>
      <c r="DP47" s="8"/>
      <c r="DQ47" s="8"/>
      <c r="DR47" s="24"/>
      <c r="DS47" s="8"/>
      <c r="DT47" s="8"/>
      <c r="DU47" s="8"/>
      <c r="DV47" s="8"/>
      <c r="DW47" s="8"/>
      <c r="DX47" s="8"/>
      <c r="DY47" s="8"/>
      <c r="DZ47" s="8"/>
      <c r="EA47" s="8"/>
      <c r="EB47" s="8"/>
      <c r="EC47" s="8"/>
      <c r="ED47" s="8"/>
      <c r="EE47" s="8"/>
      <c r="EF47" s="8"/>
    </row>
    <row r="48" spans="2:161" ht="27" customHeight="1" x14ac:dyDescent="0.35">
      <c r="B48" s="298"/>
      <c r="C48" s="567" t="s">
        <v>413</v>
      </c>
      <c r="D48" s="567"/>
      <c r="E48" s="567"/>
      <c r="F48" s="567"/>
      <c r="G48" s="567"/>
      <c r="H48" s="36"/>
      <c r="I48" s="36"/>
      <c r="J48" s="36"/>
      <c r="K48" s="36"/>
      <c r="L48" s="36"/>
      <c r="M48" s="36"/>
      <c r="N48" s="36"/>
      <c r="O48" s="36"/>
      <c r="P48" s="36"/>
      <c r="Q48" s="43"/>
      <c r="R48" s="8"/>
      <c r="S48" s="8"/>
      <c r="U48" s="8"/>
      <c r="V48" s="8"/>
      <c r="W48" s="8"/>
      <c r="X48" s="8"/>
      <c r="Y48" s="8"/>
      <c r="Z48" s="8"/>
      <c r="AA48" s="8"/>
      <c r="AB48" s="8"/>
      <c r="AC48" s="8"/>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8"/>
      <c r="CQ48" s="8"/>
      <c r="CR48" s="8"/>
      <c r="CS48" s="8"/>
      <c r="CT48" s="24"/>
      <c r="CU48" s="24"/>
      <c r="CV48" s="24"/>
      <c r="CW48" s="24"/>
      <c r="CX48" s="24"/>
      <c r="CY48" s="24"/>
      <c r="CZ48" s="24"/>
      <c r="DA48" s="24"/>
      <c r="DB48" s="24"/>
      <c r="DC48" s="24"/>
      <c r="DD48" s="24"/>
      <c r="DE48" s="24"/>
      <c r="DF48" s="24"/>
      <c r="DG48" s="24"/>
      <c r="DH48" s="24"/>
      <c r="DI48" s="24"/>
      <c r="DJ48" s="24"/>
      <c r="DK48" s="24"/>
      <c r="DL48" s="24"/>
      <c r="DM48" s="24"/>
      <c r="DN48" s="8"/>
      <c r="DO48" s="8"/>
      <c r="DP48" s="8"/>
      <c r="DQ48" s="8"/>
      <c r="DR48" s="24"/>
      <c r="DS48" s="8"/>
      <c r="DT48" s="8"/>
      <c r="DU48" s="8"/>
      <c r="DV48" s="8"/>
      <c r="DW48" s="8"/>
      <c r="DX48" s="8"/>
      <c r="DY48" s="8"/>
      <c r="DZ48" s="8"/>
      <c r="EA48" s="8"/>
      <c r="EB48" s="8"/>
      <c r="EC48" s="8"/>
      <c r="ED48" s="8"/>
      <c r="EE48" s="8"/>
      <c r="EF48" s="8"/>
    </row>
    <row r="49" spans="2:136" x14ac:dyDescent="0.35">
      <c r="B49" s="298" t="s">
        <v>268</v>
      </c>
      <c r="C49" s="284" t="s">
        <v>438</v>
      </c>
      <c r="D49" s="517"/>
      <c r="E49" s="517"/>
      <c r="F49" s="517"/>
      <c r="G49" s="517"/>
      <c r="H49" s="36"/>
      <c r="I49" s="36"/>
      <c r="J49" s="36"/>
      <c r="K49" s="36"/>
      <c r="L49" s="36"/>
      <c r="M49" s="36"/>
      <c r="N49" s="36"/>
      <c r="O49" s="36"/>
      <c r="P49" s="36"/>
      <c r="Q49" s="43"/>
      <c r="R49" s="8"/>
      <c r="S49" s="8"/>
      <c r="U49" s="8"/>
      <c r="V49" s="8"/>
      <c r="W49" s="8"/>
      <c r="X49" s="8"/>
      <c r="Y49" s="8"/>
      <c r="Z49" s="8"/>
      <c r="AA49" s="8"/>
      <c r="AB49" s="8"/>
      <c r="AC49" s="8"/>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8"/>
      <c r="CQ49" s="8"/>
      <c r="CR49" s="8"/>
      <c r="CS49" s="8"/>
      <c r="CT49" s="24"/>
      <c r="CU49" s="24"/>
      <c r="CV49" s="24"/>
      <c r="CW49" s="24"/>
      <c r="CX49" s="24"/>
      <c r="CY49" s="24"/>
      <c r="CZ49" s="24"/>
      <c r="DA49" s="24"/>
      <c r="DB49" s="24"/>
      <c r="DC49" s="24"/>
      <c r="DD49" s="24"/>
      <c r="DE49" s="24"/>
      <c r="DF49" s="24"/>
      <c r="DG49" s="24"/>
      <c r="DH49" s="24"/>
      <c r="DI49" s="24"/>
      <c r="DJ49" s="24"/>
      <c r="DK49" s="24"/>
      <c r="DL49" s="24"/>
      <c r="DM49" s="24"/>
      <c r="DN49" s="8"/>
      <c r="DO49" s="8"/>
      <c r="DP49" s="8"/>
      <c r="DQ49" s="8"/>
      <c r="DR49" s="24"/>
      <c r="DS49" s="8"/>
      <c r="DT49" s="8"/>
      <c r="DU49" s="8"/>
      <c r="DV49" s="8"/>
      <c r="DW49" s="8"/>
      <c r="DX49" s="8"/>
      <c r="DY49" s="8"/>
      <c r="DZ49" s="8"/>
      <c r="EA49" s="8"/>
      <c r="EB49" s="8"/>
      <c r="EC49" s="8"/>
      <c r="ED49" s="8"/>
      <c r="EE49" s="8"/>
      <c r="EF49" s="8"/>
    </row>
    <row r="50" spans="2:136" ht="27" customHeight="1" x14ac:dyDescent="0.35">
      <c r="B50" s="298"/>
      <c r="C50" s="567" t="s">
        <v>439</v>
      </c>
      <c r="D50" s="567"/>
      <c r="E50" s="567"/>
      <c r="F50" s="567"/>
      <c r="G50" s="567"/>
      <c r="H50" s="36"/>
      <c r="I50" s="36"/>
      <c r="J50" s="36"/>
      <c r="K50" s="36"/>
      <c r="L50" s="36"/>
      <c r="M50" s="36"/>
      <c r="N50" s="36"/>
      <c r="O50" s="36"/>
      <c r="P50" s="36"/>
      <c r="Q50" s="43"/>
      <c r="R50" s="8"/>
      <c r="S50" s="8"/>
      <c r="U50" s="8"/>
      <c r="V50" s="8"/>
      <c r="W50" s="8"/>
      <c r="X50" s="8"/>
      <c r="Y50" s="8"/>
      <c r="Z50" s="8"/>
      <c r="AA50" s="8"/>
      <c r="AB50" s="8"/>
      <c r="AC50" s="8"/>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8"/>
      <c r="CQ50" s="8"/>
      <c r="CR50" s="8"/>
      <c r="CS50" s="8"/>
      <c r="CT50" s="24"/>
      <c r="CU50" s="24"/>
      <c r="CV50" s="24"/>
      <c r="CW50" s="24"/>
      <c r="CX50" s="24"/>
      <c r="CY50" s="24"/>
      <c r="CZ50" s="24"/>
      <c r="DA50" s="24"/>
      <c r="DB50" s="24"/>
      <c r="DC50" s="24"/>
      <c r="DD50" s="24"/>
      <c r="DE50" s="24"/>
      <c r="DF50" s="24"/>
      <c r="DG50" s="24"/>
      <c r="DH50" s="24"/>
      <c r="DI50" s="24"/>
      <c r="DJ50" s="24"/>
      <c r="DK50" s="24"/>
      <c r="DL50" s="24"/>
      <c r="DM50" s="24"/>
      <c r="DN50" s="8"/>
      <c r="DO50" s="8"/>
      <c r="DP50" s="8"/>
      <c r="DQ50" s="8"/>
      <c r="DR50" s="24"/>
      <c r="DS50" s="8"/>
      <c r="DT50" s="8"/>
      <c r="DU50" s="8"/>
      <c r="DV50" s="8"/>
      <c r="DW50" s="8"/>
      <c r="DX50" s="8"/>
      <c r="DY50" s="8"/>
      <c r="DZ50" s="8"/>
      <c r="EA50" s="8"/>
      <c r="EB50" s="8"/>
      <c r="EC50" s="8"/>
      <c r="ED50" s="8"/>
      <c r="EE50" s="8"/>
      <c r="EF50" s="8"/>
    </row>
    <row r="51" spans="2:136" x14ac:dyDescent="0.35">
      <c r="B51" s="298" t="s">
        <v>269</v>
      </c>
      <c r="C51" s="284" t="s">
        <v>470</v>
      </c>
      <c r="D51" s="136"/>
      <c r="E51" s="136"/>
      <c r="F51" s="136"/>
      <c r="G51" s="136"/>
      <c r="H51" s="136"/>
      <c r="I51" s="221"/>
      <c r="J51" s="221"/>
      <c r="K51" s="24"/>
      <c r="L51" s="24"/>
      <c r="M51" s="24"/>
      <c r="N51" s="24"/>
      <c r="O51" s="24"/>
      <c r="P51" s="24"/>
      <c r="Q51" s="32"/>
      <c r="R51" s="24"/>
      <c r="S51" s="24"/>
      <c r="T51" s="24"/>
      <c r="U51" s="24"/>
      <c r="V51" s="24"/>
      <c r="W51" s="24"/>
      <c r="X51" s="24"/>
      <c r="Y51" s="24"/>
      <c r="Z51" s="24"/>
      <c r="AA51" s="24"/>
      <c r="AB51" s="24"/>
      <c r="AC51" s="24"/>
      <c r="AD51" s="8"/>
      <c r="AE51" s="8"/>
      <c r="AF51" s="24"/>
      <c r="AG51" s="24"/>
      <c r="AH51" s="24"/>
      <c r="AI51" s="24"/>
      <c r="AJ51" s="24"/>
      <c r="AK51" s="24"/>
      <c r="AL51" s="24"/>
      <c r="AM51" s="24"/>
      <c r="AN51" s="24"/>
      <c r="AO51" s="24"/>
      <c r="AP51" s="24"/>
      <c r="AQ51" s="24"/>
      <c r="AR51" s="24"/>
      <c r="AS51" s="24"/>
      <c r="AT51" s="24"/>
      <c r="AU51" s="24"/>
      <c r="AV51" s="8"/>
      <c r="AW51" s="24"/>
      <c r="AX51" s="24"/>
      <c r="AY51" s="24"/>
      <c r="AZ51" s="8"/>
      <c r="BA51" s="8"/>
      <c r="BB51" s="24"/>
      <c r="BC51" s="24"/>
      <c r="BD51" s="24"/>
      <c r="BE51" s="24"/>
      <c r="BF51" s="24"/>
      <c r="BG51" s="24"/>
      <c r="BH51" s="24"/>
      <c r="BI51" s="24"/>
      <c r="BJ51" s="24"/>
      <c r="BK51" s="24"/>
      <c r="BL51" s="24"/>
      <c r="BM51" s="24"/>
      <c r="BN51" s="24"/>
      <c r="BO51" s="24"/>
      <c r="BP51" s="8"/>
      <c r="BQ51" s="8"/>
      <c r="BR51" s="8"/>
      <c r="BS51" s="8"/>
      <c r="BT51" s="8"/>
      <c r="BU51" s="8"/>
      <c r="BV51" s="8"/>
      <c r="BW51" s="8"/>
      <c r="BX51" s="8"/>
      <c r="BY51" s="8"/>
      <c r="BZ51" s="24"/>
      <c r="CA51" s="24"/>
      <c r="CB51" s="24"/>
      <c r="CC51" s="24"/>
      <c r="CD51" s="8"/>
      <c r="CE51" s="24"/>
      <c r="CF51" s="24"/>
      <c r="CG51" s="8"/>
      <c r="CH51" s="8"/>
      <c r="CI51" s="8"/>
      <c r="CJ51" s="24"/>
      <c r="CK51" s="24"/>
      <c r="CL51" s="24"/>
      <c r="CM51" s="24"/>
      <c r="CN51" s="8"/>
      <c r="CO51" s="24"/>
      <c r="CP51" s="24"/>
      <c r="CQ51" s="24"/>
      <c r="CR51" s="24"/>
      <c r="CS51" s="24"/>
      <c r="CT51" s="24"/>
      <c r="CU51" s="24"/>
      <c r="CV51" s="24"/>
      <c r="CW51" s="24"/>
      <c r="CX51" s="24"/>
      <c r="CY51" s="8"/>
      <c r="CZ51" s="8"/>
      <c r="DA51" s="24"/>
      <c r="DB51" s="8"/>
      <c r="DC51" s="24"/>
      <c r="DD51" s="8"/>
      <c r="DE51" s="8"/>
      <c r="DF51" s="8"/>
      <c r="DG51" s="8"/>
      <c r="DH51" s="8"/>
      <c r="DI51" s="8"/>
      <c r="DJ51" s="24"/>
      <c r="DK51" s="24"/>
      <c r="DL51" s="24"/>
      <c r="DM51" s="24"/>
      <c r="DN51" s="24"/>
      <c r="DO51" s="24"/>
      <c r="DP51" s="24"/>
      <c r="DQ51" s="24"/>
      <c r="DR51" s="8"/>
      <c r="DS51" s="8"/>
      <c r="DT51" s="8"/>
      <c r="DU51" s="8"/>
      <c r="DV51" s="8"/>
      <c r="DW51" s="8"/>
      <c r="DX51" s="8"/>
      <c r="DY51" s="8"/>
      <c r="DZ51" s="8"/>
      <c r="EA51" s="8"/>
      <c r="EB51" s="8"/>
      <c r="EC51" s="8"/>
      <c r="ED51" s="8"/>
      <c r="EE51" s="8"/>
      <c r="EF51" s="8"/>
    </row>
    <row r="52" spans="2:136" ht="27" customHeight="1" x14ac:dyDescent="0.35">
      <c r="B52" s="298"/>
      <c r="C52" s="567" t="s">
        <v>406</v>
      </c>
      <c r="D52" s="567"/>
      <c r="E52" s="567"/>
      <c r="F52" s="567"/>
      <c r="G52" s="567"/>
      <c r="H52" s="36"/>
      <c r="I52" s="36"/>
      <c r="J52" s="36"/>
      <c r="K52" s="391"/>
      <c r="L52" s="391"/>
      <c r="M52" s="391"/>
      <c r="N52" s="391"/>
      <c r="O52" s="391"/>
      <c r="P52" s="391"/>
      <c r="Q52" s="38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8"/>
      <c r="DS52" s="8"/>
      <c r="DT52" s="8"/>
      <c r="DU52" s="8"/>
      <c r="DV52" s="8"/>
      <c r="DW52" s="8"/>
      <c r="DX52" s="8"/>
      <c r="DY52" s="8"/>
      <c r="DZ52" s="8"/>
      <c r="EA52" s="8"/>
      <c r="EB52" s="8"/>
      <c r="EC52" s="8"/>
      <c r="ED52" s="8"/>
      <c r="EE52" s="8"/>
      <c r="EF52" s="8"/>
    </row>
    <row r="53" spans="2:136" x14ac:dyDescent="0.35">
      <c r="B53" s="298"/>
      <c r="C53" s="392"/>
      <c r="E53" s="393"/>
      <c r="F53" s="384"/>
      <c r="G53" s="43"/>
      <c r="H53" s="43"/>
      <c r="I53" s="43"/>
      <c r="J53" s="43"/>
      <c r="K53" s="36"/>
      <c r="L53" s="36"/>
      <c r="M53" s="43"/>
      <c r="N53" s="43"/>
      <c r="O53" s="43"/>
      <c r="P53" s="36"/>
      <c r="Q53" s="43"/>
      <c r="R53" s="8"/>
      <c r="S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L53" s="8"/>
      <c r="DM53" s="8"/>
      <c r="DN53" s="8"/>
      <c r="DO53" s="8"/>
      <c r="DP53" s="8"/>
      <c r="DQ53" s="8"/>
      <c r="DR53" s="8"/>
      <c r="DS53" s="8"/>
      <c r="DT53" s="8"/>
      <c r="DU53" s="8"/>
      <c r="DV53" s="8"/>
      <c r="DW53" s="8"/>
      <c r="DX53" s="8"/>
      <c r="DY53" s="8"/>
      <c r="DZ53" s="8"/>
      <c r="EA53" s="8"/>
      <c r="EB53" s="8"/>
      <c r="EC53" s="8"/>
      <c r="ED53" s="8"/>
      <c r="EE53" s="8"/>
      <c r="EF53" s="8"/>
    </row>
    <row r="54" spans="2:136" x14ac:dyDescent="0.35">
      <c r="B54" s="352" t="s">
        <v>84</v>
      </c>
      <c r="C54" s="352"/>
      <c r="D54" s="158"/>
      <c r="E54" s="160"/>
      <c r="F54" s="191"/>
      <c r="G54" s="159"/>
      <c r="H54" s="159"/>
      <c r="I54" s="159"/>
      <c r="J54" s="159"/>
      <c r="K54" s="36"/>
      <c r="L54" s="36"/>
      <c r="M54" s="43"/>
      <c r="N54" s="43"/>
      <c r="O54" s="43"/>
      <c r="P54" s="36"/>
      <c r="Q54" s="43"/>
      <c r="R54" s="8"/>
      <c r="S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L54" s="8"/>
      <c r="DM54" s="8"/>
      <c r="DN54" s="8"/>
      <c r="DO54" s="8"/>
      <c r="DP54" s="8"/>
      <c r="DQ54" s="8"/>
      <c r="DR54" s="8"/>
      <c r="DS54" s="8"/>
      <c r="DT54" s="8"/>
      <c r="DU54" s="8"/>
      <c r="DV54" s="8"/>
      <c r="DW54" s="8"/>
      <c r="DX54" s="8"/>
      <c r="DY54" s="8"/>
      <c r="DZ54" s="8"/>
      <c r="EA54" s="8"/>
      <c r="EB54" s="8"/>
      <c r="EC54" s="8"/>
      <c r="ED54" s="8"/>
      <c r="EE54" s="8"/>
      <c r="EF54" s="8"/>
    </row>
    <row r="55" spans="2:136" x14ac:dyDescent="0.35">
      <c r="B55" s="298" t="s">
        <v>256</v>
      </c>
      <c r="C55" s="287" t="s">
        <v>257</v>
      </c>
      <c r="D55" s="387"/>
      <c r="E55" s="158"/>
      <c r="F55" s="160"/>
      <c r="G55" s="191"/>
      <c r="H55" s="191"/>
      <c r="I55" s="159"/>
      <c r="J55" s="159"/>
      <c r="K55" s="36"/>
      <c r="L55" s="36"/>
      <c r="M55" s="43"/>
      <c r="N55" s="43"/>
      <c r="O55" s="43"/>
      <c r="P55" s="36"/>
      <c r="Q55" s="43"/>
      <c r="R55" s="8"/>
      <c r="S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L55" s="8"/>
      <c r="DM55" s="8"/>
      <c r="DN55" s="8"/>
      <c r="DO55" s="8"/>
      <c r="DP55" s="8"/>
      <c r="DQ55" s="8"/>
      <c r="DR55" s="8"/>
      <c r="DS55" s="8"/>
      <c r="DT55" s="8"/>
      <c r="DU55" s="8"/>
      <c r="DV55" s="8"/>
      <c r="DW55" s="8"/>
      <c r="DX55" s="8"/>
      <c r="DY55" s="8"/>
      <c r="DZ55" s="8"/>
      <c r="EA55" s="8"/>
      <c r="EB55" s="8"/>
      <c r="EC55" s="8"/>
      <c r="ED55" s="8"/>
      <c r="EE55" s="8"/>
      <c r="EF55" s="8"/>
    </row>
    <row r="56" spans="2:136" ht="27" customHeight="1" x14ac:dyDescent="0.35">
      <c r="B56" s="298" t="s">
        <v>263</v>
      </c>
      <c r="C56" s="575" t="s">
        <v>462</v>
      </c>
      <c r="D56" s="575"/>
      <c r="E56" s="575"/>
      <c r="F56" s="575"/>
      <c r="G56" s="575"/>
      <c r="H56" s="191"/>
      <c r="I56" s="159"/>
      <c r="J56" s="159"/>
      <c r="K56" s="36"/>
      <c r="L56" s="36"/>
      <c r="M56" s="43"/>
      <c r="N56" s="43"/>
      <c r="O56" s="43"/>
      <c r="P56" s="36"/>
      <c r="Q56" s="43"/>
      <c r="R56" s="8"/>
      <c r="S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L56" s="8"/>
      <c r="DM56" s="8"/>
      <c r="DN56" s="8"/>
      <c r="DO56" s="8"/>
      <c r="DP56" s="8"/>
      <c r="DQ56" s="8"/>
      <c r="DR56" s="8"/>
      <c r="DS56" s="8"/>
      <c r="DT56" s="8"/>
      <c r="DU56" s="8"/>
      <c r="DV56" s="8"/>
      <c r="DW56" s="8"/>
      <c r="DX56" s="8"/>
      <c r="DY56" s="8"/>
      <c r="DZ56" s="8"/>
      <c r="EA56" s="8"/>
      <c r="EB56" s="8"/>
      <c r="EC56" s="8"/>
      <c r="ED56" s="8"/>
      <c r="EE56" s="8"/>
      <c r="EF56" s="8"/>
    </row>
    <row r="57" spans="2:136" x14ac:dyDescent="0.35">
      <c r="B57" s="298" t="s">
        <v>264</v>
      </c>
      <c r="C57" s="287" t="s">
        <v>374</v>
      </c>
      <c r="D57" s="387"/>
      <c r="E57" s="158"/>
      <c r="F57" s="159"/>
      <c r="G57" s="191"/>
      <c r="H57" s="191"/>
      <c r="I57" s="159"/>
      <c r="J57" s="159"/>
      <c r="K57" s="43"/>
      <c r="L57" s="43"/>
      <c r="M57" s="43"/>
      <c r="N57" s="43"/>
      <c r="O57" s="43"/>
      <c r="P57" s="43"/>
      <c r="Q57" s="43"/>
      <c r="T57"/>
      <c r="BE57"/>
      <c r="DJ57"/>
      <c r="DK57"/>
    </row>
    <row r="58" spans="2:136" ht="27" customHeight="1" x14ac:dyDescent="0.35">
      <c r="B58" s="298" t="s">
        <v>265</v>
      </c>
      <c r="C58" s="575" t="s">
        <v>464</v>
      </c>
      <c r="D58" s="575"/>
      <c r="E58" s="575"/>
      <c r="F58" s="575"/>
      <c r="G58" s="575"/>
      <c r="H58" s="191"/>
      <c r="I58" s="159"/>
      <c r="J58" s="159"/>
      <c r="K58" s="43"/>
      <c r="L58" s="43"/>
      <c r="M58" s="43"/>
      <c r="N58" s="43"/>
      <c r="O58" s="43"/>
      <c r="P58" s="43"/>
      <c r="Q58" s="43"/>
      <c r="T58"/>
      <c r="BE58"/>
      <c r="DJ58"/>
      <c r="DK58"/>
    </row>
    <row r="59" spans="2:136" ht="27" customHeight="1" x14ac:dyDescent="0.35">
      <c r="B59" s="298" t="s">
        <v>266</v>
      </c>
      <c r="C59" s="575" t="s">
        <v>465</v>
      </c>
      <c r="D59" s="575"/>
      <c r="E59" s="575"/>
      <c r="F59" s="575"/>
      <c r="G59" s="575"/>
      <c r="H59" s="519"/>
      <c r="I59" s="394"/>
      <c r="J59" s="395"/>
      <c r="K59" s="36"/>
      <c r="L59" s="36"/>
      <c r="M59" s="43"/>
      <c r="N59" s="43"/>
      <c r="O59" s="43"/>
      <c r="P59" s="36"/>
      <c r="Q59" s="43"/>
      <c r="R59" s="8"/>
      <c r="S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L59" s="8"/>
      <c r="DM59" s="8"/>
      <c r="DN59" s="8"/>
      <c r="DO59" s="8"/>
      <c r="DP59" s="8"/>
      <c r="DQ59" s="8"/>
      <c r="DR59" s="8"/>
      <c r="DS59" s="8"/>
      <c r="DT59" s="8"/>
      <c r="DU59" s="8"/>
      <c r="DV59" s="8"/>
      <c r="DW59" s="8"/>
      <c r="DX59" s="8"/>
      <c r="DY59" s="8"/>
      <c r="DZ59" s="8"/>
      <c r="EA59" s="8"/>
      <c r="EB59" s="8"/>
      <c r="EC59" s="8"/>
      <c r="ED59" s="8"/>
      <c r="EE59" s="8"/>
      <c r="EF59" s="8"/>
    </row>
    <row r="60" spans="2:136" ht="51" customHeight="1" x14ac:dyDescent="0.35">
      <c r="B60" s="298" t="s">
        <v>267</v>
      </c>
      <c r="C60" s="575" t="s">
        <v>466</v>
      </c>
      <c r="D60" s="576"/>
      <c r="E60" s="576"/>
      <c r="F60" s="576"/>
      <c r="G60" s="576"/>
      <c r="H60" s="515"/>
      <c r="I60" s="159"/>
      <c r="J60" s="159"/>
      <c r="K60" s="36"/>
      <c r="L60" s="36"/>
      <c r="M60" s="43"/>
      <c r="N60" s="43"/>
      <c r="O60" s="43"/>
      <c r="P60" s="36"/>
      <c r="Q60" s="43"/>
      <c r="R60" s="8"/>
      <c r="S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L60" s="8"/>
      <c r="DM60" s="8"/>
      <c r="DN60" s="8"/>
      <c r="DO60" s="8"/>
      <c r="DP60" s="8"/>
      <c r="DQ60" s="8"/>
      <c r="DR60" s="8"/>
      <c r="DS60" s="8"/>
      <c r="DT60" s="8"/>
      <c r="DU60" s="8"/>
      <c r="DV60" s="8"/>
      <c r="DW60" s="8"/>
      <c r="DX60" s="8"/>
      <c r="DY60" s="8"/>
      <c r="DZ60" s="8"/>
      <c r="EA60" s="8"/>
      <c r="EB60" s="8"/>
      <c r="EC60" s="8"/>
      <c r="ED60" s="8"/>
      <c r="EE60" s="8"/>
      <c r="EF60" s="8"/>
    </row>
    <row r="61" spans="2:136" x14ac:dyDescent="0.35">
      <c r="B61" s="298" t="s">
        <v>268</v>
      </c>
      <c r="C61" s="287" t="s">
        <v>375</v>
      </c>
      <c r="D61" s="515"/>
      <c r="E61" s="515"/>
      <c r="F61" s="515"/>
      <c r="G61" s="515"/>
      <c r="H61" s="515"/>
      <c r="I61" s="159"/>
      <c r="J61" s="159"/>
      <c r="K61" s="36"/>
      <c r="L61" s="36"/>
      <c r="M61" s="43"/>
      <c r="N61" s="43"/>
      <c r="O61" s="43"/>
      <c r="P61" s="36"/>
      <c r="Q61" s="43"/>
      <c r="R61" s="8"/>
      <c r="S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L61" s="8"/>
      <c r="DM61" s="8"/>
      <c r="DN61" s="8"/>
      <c r="DO61" s="8"/>
      <c r="DP61" s="8"/>
      <c r="DQ61" s="8"/>
      <c r="DR61" s="8"/>
      <c r="DS61" s="8"/>
      <c r="DT61" s="8"/>
      <c r="DU61" s="8"/>
      <c r="DV61" s="8"/>
      <c r="DW61" s="8"/>
      <c r="DX61" s="8"/>
      <c r="DY61" s="8"/>
      <c r="DZ61" s="8"/>
      <c r="EA61" s="8"/>
      <c r="EB61" s="8"/>
      <c r="EC61" s="8"/>
      <c r="ED61" s="8"/>
      <c r="EE61" s="8"/>
      <c r="EF61" s="8"/>
    </row>
    <row r="62" spans="2:136" x14ac:dyDescent="0.35">
      <c r="B62" s="298" t="s">
        <v>269</v>
      </c>
      <c r="C62" s="499" t="s">
        <v>390</v>
      </c>
      <c r="D62" s="515"/>
      <c r="E62" s="515"/>
      <c r="F62" s="515"/>
      <c r="G62" s="515"/>
      <c r="H62" s="515"/>
      <c r="I62" s="159"/>
      <c r="J62" s="159"/>
      <c r="K62" s="36"/>
      <c r="L62" s="36"/>
      <c r="M62" s="43"/>
      <c r="N62" s="43"/>
      <c r="O62" s="43"/>
      <c r="P62" s="36"/>
      <c r="Q62" s="43"/>
      <c r="R62" s="8"/>
      <c r="S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L62" s="8"/>
      <c r="DM62" s="8"/>
      <c r="DN62" s="8"/>
      <c r="DO62" s="8"/>
      <c r="DP62" s="8"/>
      <c r="DQ62" s="8"/>
      <c r="DR62" s="8"/>
      <c r="DS62" s="8"/>
      <c r="DT62" s="8"/>
      <c r="DU62" s="8"/>
      <c r="DV62" s="8"/>
      <c r="DW62" s="8"/>
      <c r="DX62" s="8"/>
      <c r="DY62" s="8"/>
      <c r="DZ62" s="8"/>
      <c r="EA62" s="8"/>
      <c r="EB62" s="8"/>
      <c r="EC62" s="8"/>
      <c r="ED62" s="8"/>
      <c r="EE62" s="8"/>
      <c r="EF62" s="8"/>
    </row>
    <row r="63" spans="2:136" x14ac:dyDescent="0.35">
      <c r="B63" s="298" t="s">
        <v>270</v>
      </c>
      <c r="C63" s="287" t="s">
        <v>258</v>
      </c>
      <c r="D63" s="395"/>
      <c r="E63" s="160"/>
      <c r="F63" s="396"/>
      <c r="G63" s="191"/>
      <c r="H63" s="191"/>
      <c r="I63" s="159"/>
      <c r="J63" s="159"/>
      <c r="K63" s="36"/>
      <c r="L63" s="36"/>
      <c r="M63" s="43"/>
      <c r="N63" s="43"/>
      <c r="O63" s="43"/>
      <c r="P63" s="36"/>
      <c r="Q63" s="43"/>
      <c r="R63" s="8"/>
      <c r="S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L63" s="8"/>
      <c r="DM63" s="8"/>
      <c r="DN63" s="8"/>
      <c r="DO63" s="8"/>
      <c r="DP63" s="8"/>
      <c r="DQ63" s="8"/>
      <c r="DR63" s="8"/>
      <c r="DS63" s="8"/>
      <c r="DT63" s="8"/>
      <c r="DU63" s="8"/>
      <c r="DV63" s="8"/>
      <c r="DW63" s="8"/>
      <c r="DX63" s="8"/>
      <c r="DY63" s="8"/>
      <c r="DZ63" s="8"/>
      <c r="EA63" s="8"/>
      <c r="EB63" s="8"/>
      <c r="EC63" s="8"/>
      <c r="ED63" s="8"/>
      <c r="EE63" s="8"/>
      <c r="EF63" s="8"/>
    </row>
    <row r="64" spans="2:136" x14ac:dyDescent="0.35">
      <c r="D64" s="36"/>
      <c r="E64" s="398"/>
      <c r="K64" s="8"/>
      <c r="L64" s="8"/>
      <c r="P64" s="8"/>
      <c r="R64" s="8"/>
      <c r="S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L64" s="8"/>
      <c r="DM64" s="8"/>
      <c r="DN64" s="8"/>
      <c r="DO64" s="8"/>
      <c r="DP64" s="8"/>
      <c r="DQ64" s="8"/>
      <c r="DR64" s="8"/>
      <c r="DS64" s="8"/>
      <c r="DT64" s="8"/>
      <c r="DU64" s="8"/>
      <c r="DV64" s="8"/>
      <c r="DW64" s="8"/>
      <c r="DX64" s="8"/>
      <c r="DY64" s="8"/>
      <c r="DZ64" s="8"/>
      <c r="EA64" s="8"/>
      <c r="EB64" s="8"/>
    </row>
    <row r="65" spans="2:132" x14ac:dyDescent="0.35">
      <c r="B65" s="397"/>
      <c r="C65" s="397"/>
      <c r="D65" s="36"/>
      <c r="E65" s="398"/>
      <c r="K65" s="8"/>
      <c r="L65" s="8"/>
      <c r="P65" s="8"/>
      <c r="R65" s="8"/>
      <c r="S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L65" s="8"/>
      <c r="DM65" s="8"/>
      <c r="DN65" s="8"/>
      <c r="DO65" s="8"/>
      <c r="DP65" s="8"/>
      <c r="DQ65" s="8"/>
      <c r="DR65" s="8"/>
      <c r="DS65" s="8"/>
      <c r="DT65" s="8"/>
      <c r="DU65" s="8"/>
      <c r="DV65" s="8"/>
      <c r="DW65" s="8"/>
      <c r="DX65" s="8"/>
      <c r="DY65" s="8"/>
      <c r="DZ65" s="8"/>
      <c r="EA65" s="8"/>
      <c r="EB65" s="8"/>
    </row>
    <row r="66" spans="2:132" x14ac:dyDescent="0.35">
      <c r="B66" s="397"/>
      <c r="C66" s="397"/>
      <c r="D66" s="36"/>
      <c r="E66" s="398"/>
      <c r="K66" s="8"/>
      <c r="L66" s="8"/>
      <c r="P66" s="8"/>
      <c r="R66" s="8"/>
      <c r="S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L66" s="8"/>
      <c r="DM66" s="8"/>
      <c r="DN66" s="8"/>
      <c r="DO66" s="8"/>
      <c r="DP66" s="8"/>
      <c r="DQ66" s="8"/>
      <c r="DR66" s="8"/>
      <c r="DS66" s="8"/>
      <c r="DT66" s="8"/>
      <c r="DU66" s="8"/>
      <c r="DV66" s="8"/>
      <c r="DW66" s="8"/>
      <c r="DX66" s="8"/>
      <c r="DY66" s="8"/>
      <c r="DZ66" s="8"/>
      <c r="EA66" s="8"/>
      <c r="EB66" s="8"/>
    </row>
    <row r="67" spans="2:132" x14ac:dyDescent="0.35">
      <c r="B67" s="397"/>
      <c r="C67" s="397"/>
      <c r="D67" s="36"/>
      <c r="E67" s="398"/>
      <c r="K67" s="8"/>
      <c r="L67" s="8"/>
      <c r="P67" s="8"/>
      <c r="R67" s="8"/>
      <c r="S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L67" s="8"/>
      <c r="DM67" s="8"/>
      <c r="DN67" s="8"/>
      <c r="DO67" s="8"/>
      <c r="DP67" s="8"/>
      <c r="DQ67" s="8"/>
      <c r="DR67" s="8"/>
      <c r="DS67" s="8"/>
      <c r="DT67" s="8"/>
      <c r="DU67" s="8"/>
      <c r="DV67" s="8"/>
      <c r="DW67" s="8"/>
      <c r="DX67" s="8"/>
      <c r="DY67" s="8"/>
      <c r="DZ67" s="8"/>
      <c r="EA67" s="8"/>
      <c r="EB67" s="8"/>
    </row>
    <row r="68" spans="2:132" x14ac:dyDescent="0.35">
      <c r="B68" s="397"/>
      <c r="C68" s="397"/>
      <c r="D68" s="36"/>
      <c r="E68" s="398"/>
      <c r="K68" s="8"/>
      <c r="L68" s="8"/>
      <c r="P68" s="8"/>
      <c r="R68" s="8"/>
      <c r="S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L68" s="8"/>
      <c r="DM68" s="8"/>
      <c r="DN68" s="8"/>
      <c r="DO68" s="8"/>
      <c r="DP68" s="8"/>
      <c r="DQ68" s="8"/>
      <c r="DR68" s="8"/>
      <c r="DS68" s="8"/>
      <c r="DT68" s="8"/>
      <c r="DU68" s="8"/>
      <c r="DV68" s="8"/>
      <c r="DW68" s="8"/>
      <c r="DX68" s="8"/>
      <c r="DY68" s="8"/>
      <c r="DZ68" s="8"/>
      <c r="EA68" s="8"/>
      <c r="EB68" s="8"/>
    </row>
    <row r="69" spans="2:132" x14ac:dyDescent="0.35">
      <c r="B69" s="397"/>
      <c r="C69" s="397"/>
      <c r="D69" s="36"/>
      <c r="E69" s="398"/>
      <c r="K69" s="8"/>
      <c r="L69" s="8"/>
      <c r="P69" s="8"/>
      <c r="R69" s="8"/>
      <c r="S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L69" s="8"/>
      <c r="DM69" s="8"/>
      <c r="DN69" s="8"/>
      <c r="DO69" s="8"/>
      <c r="DP69" s="8"/>
      <c r="DQ69" s="8"/>
      <c r="DR69" s="8"/>
      <c r="DS69" s="8"/>
      <c r="DT69" s="8"/>
      <c r="DU69" s="8"/>
      <c r="DV69" s="8"/>
      <c r="DW69" s="8"/>
      <c r="DX69" s="8"/>
      <c r="DY69" s="8"/>
      <c r="DZ69" s="8"/>
      <c r="EA69" s="8"/>
      <c r="EB69" s="8"/>
    </row>
    <row r="70" spans="2:132" x14ac:dyDescent="0.35">
      <c r="B70" s="397"/>
      <c r="C70" s="397"/>
      <c r="D70" s="36"/>
      <c r="E70" s="398"/>
      <c r="K70" s="8"/>
      <c r="L70" s="8"/>
      <c r="P70" s="8"/>
      <c r="R70" s="8"/>
      <c r="S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L70" s="8"/>
      <c r="DM70" s="8"/>
      <c r="DN70" s="8"/>
      <c r="DO70" s="8"/>
      <c r="DP70" s="8"/>
      <c r="DQ70" s="8"/>
      <c r="DR70" s="8"/>
      <c r="DS70" s="8"/>
      <c r="DT70" s="8"/>
      <c r="DU70" s="8"/>
      <c r="DV70" s="8"/>
      <c r="DW70" s="8"/>
      <c r="DX70" s="8"/>
      <c r="DY70" s="8"/>
      <c r="DZ70" s="8"/>
      <c r="EA70" s="8"/>
      <c r="EB70" s="8"/>
    </row>
    <row r="71" spans="2:132" x14ac:dyDescent="0.35">
      <c r="B71" s="397"/>
      <c r="C71" s="397"/>
      <c r="D71" s="36"/>
      <c r="E71" s="398"/>
      <c r="K71" s="8"/>
      <c r="L71" s="8"/>
      <c r="P71" s="8"/>
      <c r="R71" s="8"/>
      <c r="S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L71" s="8"/>
      <c r="DM71" s="8"/>
      <c r="DN71" s="8"/>
      <c r="DO71" s="8"/>
      <c r="DP71" s="8"/>
      <c r="DQ71" s="8"/>
      <c r="DR71" s="8"/>
      <c r="DS71" s="8"/>
      <c r="DT71" s="8"/>
      <c r="DU71" s="8"/>
      <c r="DV71" s="8"/>
      <c r="DW71" s="8"/>
      <c r="DX71" s="8"/>
      <c r="DY71" s="8"/>
      <c r="DZ71" s="8"/>
      <c r="EA71" s="8"/>
      <c r="EB71" s="8"/>
    </row>
    <row r="72" spans="2:132" x14ac:dyDescent="0.35">
      <c r="B72" s="397"/>
      <c r="C72" s="397"/>
      <c r="D72" s="36"/>
      <c r="K72" s="8"/>
      <c r="L72" s="8"/>
      <c r="P72" s="8"/>
      <c r="R72" s="8"/>
      <c r="S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L72" s="8"/>
      <c r="DM72" s="8"/>
      <c r="DN72" s="8"/>
      <c r="DO72" s="8"/>
      <c r="DP72" s="8"/>
      <c r="DQ72" s="8"/>
      <c r="DR72" s="8"/>
      <c r="DS72" s="8"/>
      <c r="DT72" s="8"/>
      <c r="DU72" s="8"/>
      <c r="DV72" s="8"/>
      <c r="DW72" s="8"/>
      <c r="DX72" s="8"/>
      <c r="DY72" s="8"/>
      <c r="DZ72" s="8"/>
      <c r="EA72" s="8"/>
      <c r="EB72" s="8"/>
    </row>
    <row r="73" spans="2:132" x14ac:dyDescent="0.35">
      <c r="B73" s="397"/>
      <c r="C73" s="397"/>
      <c r="D73" s="36"/>
      <c r="K73" s="8"/>
      <c r="L73" s="8"/>
      <c r="P73" s="8"/>
      <c r="R73" s="8"/>
      <c r="S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L73" s="8"/>
      <c r="DM73" s="8"/>
      <c r="DN73" s="8"/>
      <c r="DO73" s="8"/>
      <c r="DP73" s="8"/>
      <c r="DQ73" s="8"/>
      <c r="DR73" s="8"/>
      <c r="DS73" s="8"/>
      <c r="DT73" s="8"/>
      <c r="DU73" s="8"/>
      <c r="DV73" s="8"/>
      <c r="DW73" s="8"/>
      <c r="DX73" s="8"/>
      <c r="DY73" s="8"/>
      <c r="DZ73" s="8"/>
      <c r="EA73" s="8"/>
      <c r="EB73" s="8"/>
    </row>
    <row r="74" spans="2:132" x14ac:dyDescent="0.35">
      <c r="B74" s="397"/>
      <c r="C74" s="397"/>
      <c r="D74" s="36"/>
      <c r="E74" s="35"/>
      <c r="L74" s="8"/>
      <c r="M74" s="8"/>
      <c r="N74" s="8"/>
      <c r="O74" s="8"/>
      <c r="P74" s="8"/>
      <c r="R74" s="8"/>
      <c r="S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L74" s="8"/>
      <c r="DM74" s="8"/>
      <c r="DN74" s="8"/>
      <c r="DO74" s="24"/>
      <c r="DP74" s="8"/>
      <c r="DQ74" s="8"/>
      <c r="DR74" s="8"/>
      <c r="DS74" s="8"/>
      <c r="DT74" s="8"/>
      <c r="DU74" s="8"/>
      <c r="DV74" s="8"/>
      <c r="DW74" s="8"/>
      <c r="DX74" s="8"/>
      <c r="DY74" s="8"/>
    </row>
    <row r="75" spans="2:132" x14ac:dyDescent="0.35">
      <c r="B75" s="397"/>
      <c r="C75" s="397"/>
      <c r="D75" s="36"/>
      <c r="E75" s="35"/>
      <c r="L75" s="8"/>
      <c r="M75" s="8"/>
      <c r="N75" s="8"/>
      <c r="O75" s="8"/>
      <c r="P75" s="8"/>
      <c r="R75" s="8"/>
      <c r="S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L75" s="8"/>
      <c r="DM75" s="8"/>
      <c r="DN75" s="8"/>
      <c r="DO75" s="24"/>
      <c r="DP75" s="8"/>
      <c r="DQ75" s="8"/>
      <c r="DR75" s="8"/>
      <c r="DS75" s="8"/>
      <c r="DT75" s="8"/>
      <c r="DU75" s="8"/>
      <c r="DV75" s="8"/>
      <c r="DW75" s="8"/>
      <c r="DX75" s="8"/>
      <c r="DY75" s="8"/>
    </row>
    <row r="76" spans="2:132" x14ac:dyDescent="0.35">
      <c r="B76" s="397"/>
      <c r="C76" s="397"/>
      <c r="D76" s="36"/>
      <c r="E76" s="35"/>
      <c r="L76" s="8"/>
      <c r="M76" s="8"/>
      <c r="N76" s="8"/>
      <c r="O76" s="8"/>
      <c r="P76" s="8"/>
      <c r="R76" s="8"/>
      <c r="S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L76" s="8"/>
      <c r="DM76" s="8"/>
      <c r="DN76" s="8"/>
      <c r="DO76" s="24"/>
      <c r="DP76" s="8"/>
      <c r="DQ76" s="8"/>
      <c r="DR76" s="8"/>
      <c r="DS76" s="8"/>
      <c r="DT76" s="8"/>
      <c r="DU76" s="8"/>
      <c r="DV76" s="8"/>
      <c r="DW76" s="8"/>
      <c r="DX76" s="8"/>
      <c r="DY76" s="8"/>
    </row>
    <row r="77" spans="2:132" x14ac:dyDescent="0.35">
      <c r="B77" s="397"/>
      <c r="C77" s="397"/>
      <c r="D77" s="36"/>
      <c r="E77" s="35"/>
      <c r="L77" s="8"/>
      <c r="M77" s="8"/>
      <c r="N77" s="8"/>
      <c r="O77" s="8"/>
      <c r="P77" s="8"/>
      <c r="R77" s="8"/>
      <c r="S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L77" s="8"/>
      <c r="DM77" s="8"/>
      <c r="DN77" s="8"/>
      <c r="DO77" s="24"/>
      <c r="DP77" s="8"/>
      <c r="DQ77" s="8"/>
      <c r="DR77" s="8"/>
      <c r="DS77" s="8"/>
      <c r="DT77" s="8"/>
      <c r="DU77" s="8"/>
      <c r="DV77" s="8"/>
      <c r="DW77" s="8"/>
      <c r="DX77" s="8"/>
      <c r="DY77" s="8"/>
    </row>
    <row r="78" spans="2:132" x14ac:dyDescent="0.35">
      <c r="B78" s="397"/>
      <c r="C78" s="397"/>
      <c r="D78" s="36"/>
      <c r="F78" s="24"/>
      <c r="G78" s="8"/>
      <c r="H78" s="8"/>
      <c r="I78" s="8"/>
      <c r="J78" s="8"/>
      <c r="K78" s="8"/>
      <c r="L78" s="8"/>
      <c r="P78" s="8"/>
      <c r="R78" s="8"/>
      <c r="S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L78" s="8"/>
      <c r="DM78" s="8"/>
      <c r="DN78" s="8"/>
      <c r="DO78" s="8"/>
      <c r="DP78" s="8"/>
      <c r="DQ78" s="8"/>
      <c r="DR78" s="8"/>
      <c r="DS78" s="8"/>
      <c r="DT78" s="8"/>
      <c r="DU78" s="8"/>
      <c r="DV78" s="8"/>
      <c r="DW78" s="8"/>
      <c r="DX78" s="8"/>
      <c r="DY78" s="8"/>
      <c r="DZ78" s="8"/>
      <c r="EA78" s="8"/>
      <c r="EB78" s="8"/>
    </row>
    <row r="79" spans="2:132" x14ac:dyDescent="0.35">
      <c r="B79" s="397"/>
      <c r="C79" s="397"/>
      <c r="D79" s="36"/>
      <c r="F79" s="24"/>
      <c r="G79" s="8"/>
      <c r="H79" s="8"/>
      <c r="I79" s="8"/>
      <c r="J79" s="8"/>
      <c r="K79" s="8"/>
      <c r="L79" s="8"/>
      <c r="P79" s="8"/>
      <c r="R79" s="8"/>
      <c r="S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L79" s="8"/>
      <c r="DM79" s="8"/>
      <c r="DN79" s="8"/>
      <c r="DO79" s="8"/>
      <c r="DP79" s="8"/>
      <c r="DQ79" s="8"/>
      <c r="DR79" s="8"/>
      <c r="DS79" s="8"/>
      <c r="DT79" s="8"/>
      <c r="DU79" s="8"/>
      <c r="DV79" s="8"/>
      <c r="DW79" s="8"/>
      <c r="DX79" s="8"/>
      <c r="DY79" s="8"/>
      <c r="DZ79" s="8"/>
      <c r="EA79" s="8"/>
      <c r="EB79" s="8"/>
    </row>
    <row r="80" spans="2:132" x14ac:dyDescent="0.35">
      <c r="B80" s="397"/>
      <c r="C80" s="397"/>
      <c r="D80" s="36"/>
      <c r="K80" s="8"/>
      <c r="L80" s="8"/>
      <c r="P80" s="8"/>
      <c r="R80" s="8"/>
      <c r="S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L80" s="8"/>
      <c r="DM80" s="8"/>
      <c r="DN80" s="8"/>
      <c r="DO80" s="8"/>
      <c r="DP80" s="8"/>
      <c r="DQ80" s="8"/>
      <c r="DR80" s="8"/>
      <c r="DS80" s="8"/>
      <c r="DT80" s="8"/>
      <c r="DU80" s="8"/>
      <c r="DV80" s="8"/>
      <c r="DW80" s="8"/>
      <c r="DX80" s="8"/>
      <c r="DY80" s="8"/>
      <c r="DZ80" s="8"/>
      <c r="EA80" s="8"/>
      <c r="EB80" s="8"/>
    </row>
    <row r="81" spans="2:132" x14ac:dyDescent="0.35">
      <c r="B81" s="397"/>
      <c r="C81" s="397"/>
      <c r="D81" s="36"/>
      <c r="K81" s="8"/>
      <c r="L81" s="8"/>
      <c r="P81" s="8"/>
      <c r="R81" s="8"/>
      <c r="S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L81" s="8"/>
      <c r="DM81" s="8"/>
      <c r="DN81" s="8"/>
      <c r="DO81" s="8"/>
      <c r="DP81" s="8"/>
      <c r="DQ81" s="8"/>
      <c r="DR81" s="8"/>
      <c r="DS81" s="8"/>
      <c r="DT81" s="8"/>
      <c r="DU81" s="8"/>
      <c r="DV81" s="8"/>
      <c r="DW81" s="8"/>
      <c r="DX81" s="8"/>
      <c r="DY81" s="8"/>
      <c r="DZ81" s="8"/>
      <c r="EA81" s="8"/>
      <c r="EB81" s="8"/>
    </row>
    <row r="82" spans="2:132" x14ac:dyDescent="0.35">
      <c r="B82" s="397"/>
      <c r="C82" s="397"/>
      <c r="D82" s="36"/>
      <c r="K82" s="8"/>
      <c r="L82" s="8"/>
      <c r="P82" s="8"/>
      <c r="R82" s="8"/>
      <c r="S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L82" s="8"/>
      <c r="DM82" s="8"/>
      <c r="DN82" s="8"/>
      <c r="DO82" s="8"/>
      <c r="DP82" s="8"/>
      <c r="DQ82" s="8"/>
      <c r="DR82" s="8"/>
      <c r="DS82" s="8"/>
      <c r="DT82" s="8"/>
      <c r="DU82" s="8"/>
      <c r="DV82" s="8"/>
      <c r="DW82" s="8"/>
      <c r="DX82" s="8"/>
      <c r="DY82" s="8"/>
      <c r="DZ82" s="8"/>
      <c r="EA82" s="8"/>
      <c r="EB82" s="8"/>
    </row>
    <row r="83" spans="2:132" x14ac:dyDescent="0.35">
      <c r="B83" s="397"/>
      <c r="C83" s="397"/>
      <c r="D83" s="36"/>
      <c r="K83" s="8"/>
      <c r="L83" s="8"/>
      <c r="P83" s="8"/>
      <c r="R83" s="8"/>
      <c r="S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L83" s="8"/>
      <c r="DM83" s="8"/>
      <c r="DN83" s="8"/>
      <c r="DO83" s="8"/>
      <c r="DP83" s="8"/>
      <c r="DQ83" s="8"/>
      <c r="DR83" s="8"/>
      <c r="DS83" s="8"/>
      <c r="DT83" s="8"/>
      <c r="DU83" s="8"/>
      <c r="DV83" s="8"/>
      <c r="DW83" s="8"/>
      <c r="DX83" s="8"/>
      <c r="DY83" s="8"/>
      <c r="DZ83" s="8"/>
      <c r="EA83" s="8"/>
      <c r="EB83" s="8"/>
    </row>
    <row r="84" spans="2:132" x14ac:dyDescent="0.35">
      <c r="B84" s="399"/>
      <c r="C84" s="399"/>
      <c r="D84" s="400"/>
      <c r="K84" s="8"/>
      <c r="L84" s="8"/>
      <c r="P84" s="8"/>
      <c r="R84" s="8"/>
      <c r="S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L84" s="8"/>
      <c r="DM84" s="8"/>
      <c r="DN84" s="8"/>
      <c r="DO84" s="8"/>
      <c r="DP84" s="8"/>
      <c r="DQ84" s="8"/>
      <c r="DR84" s="8"/>
      <c r="DS84" s="8"/>
      <c r="DT84" s="8"/>
      <c r="DU84" s="8"/>
      <c r="DV84" s="8"/>
      <c r="DW84" s="8"/>
      <c r="DX84" s="8"/>
      <c r="DY84" s="8"/>
      <c r="DZ84" s="8"/>
      <c r="EA84" s="8"/>
      <c r="EB84" s="8"/>
    </row>
    <row r="85" spans="2:132" x14ac:dyDescent="0.35">
      <c r="B85" s="399"/>
      <c r="C85" s="399"/>
      <c r="D85" s="400"/>
      <c r="K85" s="8"/>
      <c r="L85" s="8"/>
      <c r="P85" s="8"/>
      <c r="R85" s="8"/>
      <c r="S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L85" s="8"/>
      <c r="DM85" s="8"/>
      <c r="DN85" s="8"/>
      <c r="DO85" s="8"/>
      <c r="DP85" s="8"/>
      <c r="DQ85" s="8"/>
      <c r="DR85" s="8"/>
      <c r="DS85" s="8"/>
      <c r="DT85" s="8"/>
      <c r="DU85" s="8"/>
      <c r="DV85" s="8"/>
      <c r="DW85" s="8"/>
      <c r="DX85" s="8"/>
      <c r="DY85" s="8"/>
      <c r="DZ85" s="8"/>
      <c r="EA85" s="8"/>
      <c r="EB85" s="8"/>
    </row>
    <row r="86" spans="2:132" x14ac:dyDescent="0.35">
      <c r="B86" s="399"/>
      <c r="C86" s="399"/>
      <c r="D86" s="400"/>
      <c r="K86" s="8"/>
      <c r="L86" s="8"/>
      <c r="P86" s="8"/>
      <c r="R86" s="8"/>
      <c r="S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L86" s="8"/>
      <c r="DM86" s="8"/>
      <c r="DN86" s="8"/>
      <c r="DO86" s="8"/>
      <c r="DP86" s="8"/>
      <c r="DQ86" s="8"/>
      <c r="DR86" s="8"/>
      <c r="DS86" s="8"/>
      <c r="DT86" s="8"/>
      <c r="DU86" s="8"/>
      <c r="DV86" s="8"/>
      <c r="DW86" s="8"/>
      <c r="DX86" s="8"/>
      <c r="DY86" s="8"/>
      <c r="DZ86" s="8"/>
      <c r="EA86" s="8"/>
      <c r="EB86" s="8"/>
    </row>
    <row r="87" spans="2:132" x14ac:dyDescent="0.35">
      <c r="B87" s="399"/>
      <c r="C87" s="399"/>
      <c r="D87" s="400"/>
      <c r="K87" s="8"/>
      <c r="L87" s="8"/>
      <c r="P87" s="8"/>
      <c r="R87" s="8"/>
      <c r="S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L87" s="8"/>
      <c r="DM87" s="8"/>
      <c r="DN87" s="8"/>
      <c r="DO87" s="8"/>
      <c r="DP87" s="8"/>
      <c r="DQ87" s="8"/>
      <c r="DR87" s="8"/>
      <c r="DS87" s="8"/>
      <c r="DT87" s="8"/>
      <c r="DU87" s="8"/>
      <c r="DV87" s="8"/>
      <c r="DW87" s="8"/>
      <c r="DX87" s="8"/>
      <c r="DY87" s="8"/>
      <c r="DZ87" s="8"/>
      <c r="EA87" s="8"/>
      <c r="EB87" s="8"/>
    </row>
    <row r="88" spans="2:132" x14ac:dyDescent="0.35">
      <c r="B88" s="399"/>
      <c r="C88" s="399"/>
      <c r="D88" s="400"/>
      <c r="K88" s="8"/>
      <c r="L88" s="8"/>
      <c r="P88" s="8"/>
      <c r="R88" s="8"/>
      <c r="S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L88" s="8"/>
      <c r="DM88" s="8"/>
      <c r="DN88" s="8"/>
      <c r="DO88" s="8"/>
      <c r="DP88" s="8"/>
      <c r="DQ88" s="8"/>
      <c r="DR88" s="8"/>
      <c r="DS88" s="8"/>
      <c r="DT88" s="8"/>
      <c r="DU88" s="8"/>
      <c r="DV88" s="8"/>
      <c r="DW88" s="8"/>
      <c r="DX88" s="8"/>
      <c r="DY88" s="8"/>
      <c r="DZ88" s="8"/>
      <c r="EA88" s="8"/>
      <c r="EB88" s="8"/>
    </row>
    <row r="89" spans="2:132" x14ac:dyDescent="0.35">
      <c r="B89" s="399"/>
      <c r="C89" s="399"/>
      <c r="D89" s="400"/>
      <c r="K89" s="8"/>
      <c r="L89" s="8"/>
      <c r="P89" s="8"/>
      <c r="R89" s="8"/>
      <c r="S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L89" s="8"/>
      <c r="DM89" s="8"/>
      <c r="DN89" s="8"/>
      <c r="DO89" s="8"/>
      <c r="DP89" s="8"/>
      <c r="DQ89" s="8"/>
      <c r="DR89" s="8"/>
      <c r="DS89" s="8"/>
      <c r="DT89" s="8"/>
      <c r="DU89" s="8"/>
      <c r="DV89" s="8"/>
      <c r="DW89" s="8"/>
      <c r="DX89" s="8"/>
      <c r="DY89" s="8"/>
      <c r="DZ89" s="8"/>
      <c r="EA89" s="8"/>
      <c r="EB89" s="8"/>
    </row>
    <row r="90" spans="2:132" x14ac:dyDescent="0.35">
      <c r="B90" s="399"/>
      <c r="C90" s="399"/>
      <c r="D90" s="400"/>
      <c r="K90" s="8"/>
      <c r="L90" s="8"/>
      <c r="P90" s="8"/>
      <c r="R90" s="8"/>
      <c r="S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L90" s="8"/>
      <c r="DM90" s="8"/>
      <c r="DN90" s="8"/>
      <c r="DO90" s="8"/>
      <c r="DP90" s="8"/>
      <c r="DQ90" s="8"/>
      <c r="DR90" s="8"/>
      <c r="DS90" s="8"/>
      <c r="DT90" s="8"/>
      <c r="DU90" s="8"/>
      <c r="DV90" s="8"/>
      <c r="DW90" s="8"/>
      <c r="DX90" s="8"/>
      <c r="DY90" s="8"/>
      <c r="DZ90" s="8"/>
      <c r="EA90" s="8"/>
      <c r="EB90" s="8"/>
    </row>
    <row r="91" spans="2:132" x14ac:dyDescent="0.35">
      <c r="B91" s="399"/>
      <c r="C91" s="399"/>
      <c r="D91" s="400"/>
      <c r="K91" s="8"/>
      <c r="L91" s="8"/>
      <c r="P91" s="8"/>
      <c r="R91" s="8"/>
      <c r="S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L91" s="8"/>
      <c r="DM91" s="8"/>
      <c r="DN91" s="8"/>
      <c r="DO91" s="8"/>
      <c r="DP91" s="8"/>
      <c r="DQ91" s="8"/>
      <c r="DR91" s="8"/>
      <c r="DS91" s="8"/>
      <c r="DT91" s="8"/>
      <c r="DU91" s="8"/>
      <c r="DV91" s="8"/>
      <c r="DW91" s="8"/>
      <c r="DX91" s="8"/>
      <c r="DY91" s="8"/>
      <c r="DZ91" s="8"/>
      <c r="EA91" s="8"/>
      <c r="EB91" s="8"/>
    </row>
    <row r="92" spans="2:132" x14ac:dyDescent="0.35">
      <c r="B92" s="399"/>
      <c r="C92" s="399"/>
      <c r="D92" s="400"/>
      <c r="K92" s="8"/>
      <c r="L92" s="8"/>
      <c r="P92" s="8"/>
      <c r="R92" s="8"/>
      <c r="S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L92" s="8"/>
      <c r="DM92" s="8"/>
      <c r="DN92" s="8"/>
      <c r="DO92" s="8"/>
      <c r="DP92" s="8"/>
      <c r="DQ92" s="8"/>
      <c r="DR92" s="8"/>
      <c r="DS92" s="8"/>
      <c r="DT92" s="8"/>
      <c r="DU92" s="8"/>
      <c r="DV92" s="8"/>
      <c r="DW92" s="8"/>
      <c r="DX92" s="8"/>
      <c r="DY92" s="8"/>
      <c r="DZ92" s="8"/>
      <c r="EA92" s="8"/>
      <c r="EB92" s="8"/>
    </row>
    <row r="93" spans="2:132" x14ac:dyDescent="0.35">
      <c r="B93" s="399"/>
      <c r="C93" s="399"/>
      <c r="D93" s="400"/>
      <c r="K93" s="8"/>
      <c r="L93" s="8"/>
      <c r="P93" s="8"/>
      <c r="R93" s="8"/>
      <c r="S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L93" s="8"/>
      <c r="DM93" s="8"/>
      <c r="DN93" s="8"/>
      <c r="DO93" s="8"/>
      <c r="DP93" s="8"/>
      <c r="DQ93" s="8"/>
      <c r="DR93" s="8"/>
      <c r="DS93" s="8"/>
      <c r="DT93" s="8"/>
      <c r="DU93" s="8"/>
      <c r="DV93" s="8"/>
      <c r="DW93" s="8"/>
      <c r="DX93" s="8"/>
      <c r="DY93" s="8"/>
      <c r="DZ93" s="8"/>
      <c r="EA93" s="8"/>
      <c r="EB93" s="8"/>
    </row>
    <row r="94" spans="2:132" x14ac:dyDescent="0.35">
      <c r="B94" s="37"/>
      <c r="C94" s="37"/>
      <c r="D94" s="401"/>
      <c r="K94" s="8"/>
      <c r="L94" s="8"/>
      <c r="P94" s="8"/>
      <c r="R94" s="8"/>
      <c r="S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L94" s="8"/>
      <c r="DM94" s="8"/>
      <c r="DN94" s="8"/>
      <c r="DO94" s="8"/>
      <c r="DP94" s="24"/>
      <c r="DQ94" s="8"/>
      <c r="DR94" s="8"/>
      <c r="DS94" s="8"/>
      <c r="DT94" s="8"/>
      <c r="DU94" s="8"/>
      <c r="DV94" s="8"/>
      <c r="DW94" s="8"/>
      <c r="DX94" s="8"/>
      <c r="DY94" s="8"/>
      <c r="DZ94" s="8"/>
    </row>
    <row r="95" spans="2:132" x14ac:dyDescent="0.35">
      <c r="B95" s="37"/>
      <c r="C95" s="37"/>
      <c r="D95" s="401"/>
      <c r="K95" s="8"/>
      <c r="L95" s="8"/>
      <c r="P95" s="8"/>
      <c r="R95" s="8"/>
      <c r="S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L95" s="8"/>
      <c r="DM95" s="8"/>
      <c r="DN95" s="8"/>
      <c r="DO95" s="8"/>
      <c r="DP95" s="24"/>
      <c r="DQ95" s="8"/>
      <c r="DR95" s="8"/>
      <c r="DS95" s="8"/>
      <c r="DT95" s="8"/>
      <c r="DU95" s="8"/>
      <c r="DV95" s="8"/>
      <c r="DW95" s="8"/>
      <c r="DX95" s="8"/>
      <c r="DY95" s="8"/>
      <c r="DZ95" s="8"/>
    </row>
    <row r="96" spans="2:132" x14ac:dyDescent="0.35">
      <c r="B96" s="37"/>
      <c r="C96" s="37"/>
      <c r="D96" s="401"/>
      <c r="K96" s="8"/>
      <c r="L96" s="8"/>
      <c r="P96" s="8"/>
      <c r="R96" s="8"/>
      <c r="S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L96" s="8"/>
      <c r="DM96" s="8"/>
      <c r="DN96" s="8"/>
      <c r="DO96" s="8"/>
      <c r="DP96" s="24"/>
      <c r="DQ96" s="8"/>
      <c r="DR96" s="8"/>
      <c r="DS96" s="8"/>
      <c r="DT96" s="8"/>
      <c r="DU96" s="8"/>
      <c r="DV96" s="8"/>
      <c r="DW96" s="8"/>
      <c r="DX96" s="8"/>
      <c r="DY96" s="8"/>
      <c r="DZ96" s="8"/>
    </row>
    <row r="97" spans="2:132" x14ac:dyDescent="0.35">
      <c r="B97" s="37"/>
      <c r="C97" s="37"/>
      <c r="D97" s="401"/>
      <c r="K97" s="8"/>
      <c r="L97" s="8"/>
      <c r="P97" s="8"/>
      <c r="R97" s="8"/>
      <c r="S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L97" s="8"/>
      <c r="DM97" s="8"/>
      <c r="DN97" s="8"/>
      <c r="DO97" s="8"/>
      <c r="DP97" s="8"/>
      <c r="DQ97" s="8"/>
      <c r="DR97" s="8"/>
      <c r="DS97" s="8"/>
      <c r="DT97" s="8"/>
      <c r="DU97" s="8"/>
      <c r="DV97" s="8"/>
      <c r="DW97" s="8"/>
      <c r="DX97" s="8"/>
      <c r="DY97" s="8"/>
      <c r="DZ97" s="8"/>
      <c r="EA97" s="8"/>
      <c r="EB97" s="8"/>
    </row>
    <row r="98" spans="2:132" x14ac:dyDescent="0.35">
      <c r="B98" s="37"/>
      <c r="C98" s="37"/>
      <c r="D98" s="401"/>
      <c r="K98" s="8"/>
      <c r="L98" s="8"/>
      <c r="P98" s="8"/>
      <c r="R98" s="8"/>
      <c r="S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L98" s="8"/>
      <c r="DM98" s="8"/>
      <c r="DN98" s="8"/>
      <c r="DO98" s="8"/>
      <c r="DP98" s="8"/>
      <c r="DQ98" s="8"/>
      <c r="DR98" s="8"/>
      <c r="DS98" s="8"/>
      <c r="DT98" s="8"/>
      <c r="DU98" s="8"/>
      <c r="DV98" s="8"/>
      <c r="DW98" s="8"/>
      <c r="DX98" s="8"/>
      <c r="DY98" s="8"/>
      <c r="DZ98" s="8"/>
      <c r="EA98" s="8"/>
      <c r="EB98" s="8"/>
    </row>
    <row r="99" spans="2:132" x14ac:dyDescent="0.35">
      <c r="B99" s="37"/>
      <c r="C99" s="37"/>
      <c r="D99" s="34"/>
      <c r="K99" s="8"/>
      <c r="L99" s="8"/>
      <c r="P99" s="8"/>
      <c r="R99" s="8"/>
      <c r="S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L99" s="8"/>
      <c r="DM99" s="8"/>
      <c r="DN99" s="8"/>
      <c r="DO99" s="8"/>
      <c r="DP99" s="8"/>
      <c r="DQ99" s="8"/>
      <c r="DR99" s="8"/>
      <c r="DS99" s="8"/>
      <c r="DT99" s="8"/>
      <c r="DU99" s="8"/>
      <c r="DV99" s="8"/>
      <c r="DW99" s="8"/>
      <c r="DX99" s="8"/>
      <c r="DY99" s="8"/>
      <c r="DZ99" s="8"/>
      <c r="EA99" s="8"/>
      <c r="EB99" s="8"/>
    </row>
    <row r="100" spans="2:132" x14ac:dyDescent="0.35">
      <c r="B100" s="37"/>
      <c r="C100" s="37"/>
      <c r="D100" s="34"/>
      <c r="K100" s="8"/>
      <c r="L100" s="8"/>
      <c r="P100" s="8"/>
      <c r="R100" s="8"/>
      <c r="S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L100" s="8"/>
      <c r="DM100" s="8"/>
      <c r="DN100" s="8"/>
      <c r="DO100" s="8"/>
      <c r="DP100" s="8"/>
      <c r="DQ100" s="8"/>
      <c r="DR100" s="8"/>
      <c r="DS100" s="8"/>
      <c r="DT100" s="8"/>
      <c r="DU100" s="8"/>
      <c r="DV100" s="8"/>
      <c r="DW100" s="8"/>
      <c r="DX100" s="8"/>
      <c r="DY100" s="8"/>
      <c r="DZ100" s="8"/>
      <c r="EA100" s="8"/>
      <c r="EB100" s="8"/>
    </row>
    <row r="101" spans="2:132" x14ac:dyDescent="0.35">
      <c r="B101" s="37"/>
      <c r="C101" s="37"/>
      <c r="D101" s="34"/>
      <c r="K101" s="8"/>
      <c r="L101" s="8"/>
      <c r="R101" s="8"/>
      <c r="S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L101" s="8"/>
      <c r="DM101" s="8"/>
      <c r="DN101" s="8"/>
      <c r="DO101" s="8"/>
      <c r="DP101" s="8"/>
      <c r="DQ101" s="8"/>
      <c r="DR101" s="8"/>
      <c r="DS101" s="8"/>
      <c r="DT101" s="8"/>
      <c r="DU101" s="8"/>
      <c r="DV101" s="8"/>
      <c r="DW101" s="8"/>
      <c r="DX101" s="8"/>
      <c r="DY101" s="8"/>
      <c r="DZ101" s="8"/>
      <c r="EA101" s="8"/>
      <c r="EB101" s="8"/>
    </row>
    <row r="102" spans="2:132" x14ac:dyDescent="0.35">
      <c r="B102" s="37"/>
      <c r="C102" s="37"/>
      <c r="D102" s="34"/>
      <c r="K102" s="8"/>
      <c r="L102" s="8"/>
      <c r="R102" s="8"/>
      <c r="S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L102" s="8"/>
      <c r="DM102" s="8"/>
      <c r="DN102" s="8"/>
      <c r="DO102" s="8"/>
      <c r="DP102" s="8"/>
    </row>
    <row r="103" spans="2:132" x14ac:dyDescent="0.35">
      <c r="B103" s="37"/>
      <c r="C103" s="37"/>
      <c r="D103" s="34"/>
      <c r="K103" s="8"/>
      <c r="L103" s="8"/>
      <c r="R103" s="8"/>
      <c r="S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L103" s="8"/>
      <c r="DM103" s="8"/>
      <c r="DN103" s="8"/>
      <c r="DO103" s="8"/>
      <c r="DP103" s="8"/>
    </row>
    <row r="104" spans="2:132" x14ac:dyDescent="0.35">
      <c r="B104" s="37"/>
      <c r="C104" s="37"/>
      <c r="D104" s="34"/>
      <c r="K104" s="8"/>
      <c r="L104" s="8"/>
      <c r="R104" s="8"/>
      <c r="S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L104" s="8"/>
      <c r="DM104" s="8"/>
      <c r="DN104" s="8"/>
      <c r="DO104" s="8"/>
      <c r="DP104" s="8"/>
    </row>
    <row r="105" spans="2:132" x14ac:dyDescent="0.35">
      <c r="K105" s="8"/>
      <c r="L105" s="8"/>
      <c r="R105" s="8"/>
      <c r="S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L105" s="8"/>
      <c r="DM105" s="8"/>
      <c r="DN105" s="8"/>
      <c r="DO105" s="8"/>
      <c r="DP105" s="8"/>
    </row>
    <row r="106" spans="2:132" x14ac:dyDescent="0.35">
      <c r="K106" s="8"/>
      <c r="L106" s="8"/>
      <c r="R106" s="8"/>
      <c r="S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L106" s="8"/>
      <c r="DM106" s="8"/>
      <c r="DN106" s="8"/>
    </row>
    <row r="107" spans="2:132" x14ac:dyDescent="0.35">
      <c r="CX107" s="8"/>
      <c r="CY107" s="8"/>
      <c r="CZ107" s="8"/>
      <c r="DA107" s="8"/>
      <c r="DB107" s="8"/>
      <c r="DC107" s="8"/>
      <c r="DD107" s="8"/>
      <c r="DE107" s="8"/>
      <c r="DF107" s="8"/>
      <c r="DG107" s="8"/>
      <c r="DH107" s="8"/>
      <c r="DI107" s="8"/>
      <c r="DL107" s="8"/>
      <c r="DM107" s="8"/>
      <c r="DN107" s="8"/>
    </row>
    <row r="108" spans="2:132" x14ac:dyDescent="0.35">
      <c r="DD108" s="8"/>
      <c r="DE108" s="8"/>
      <c r="DF108" s="8"/>
      <c r="DG108" s="8"/>
      <c r="DH108" s="8"/>
      <c r="DI108" s="8"/>
      <c r="DL108" s="8"/>
      <c r="DM108" s="8"/>
      <c r="DN108" s="8"/>
    </row>
  </sheetData>
  <sheetProtection algorithmName="SHA-512" hashValue="XZldjCVgBvYBZa37Ojy1GfMdaVCBuPeHojDQv+Q8Gnk2Jk5n/BpoT7+FN4nXIRQlqh6SBtbRgfSzqhJLnYdruQ==" saltValue="RKKy+t8ZQXruwtdBm4kkIA==" spinCount="100000" sheet="1" formatCells="0" formatColumns="0" formatRows="0" sort="0" autoFilter="0" pivotTables="0"/>
  <mergeCells count="18">
    <mergeCell ref="C60:G60"/>
    <mergeCell ref="C37:G37"/>
    <mergeCell ref="C45:G45"/>
    <mergeCell ref="C59:G59"/>
    <mergeCell ref="B1:G1"/>
    <mergeCell ref="C52:G52"/>
    <mergeCell ref="C48:G48"/>
    <mergeCell ref="C56:G56"/>
    <mergeCell ref="C50:G50"/>
    <mergeCell ref="C58:G58"/>
    <mergeCell ref="I3:AC3"/>
    <mergeCell ref="AD3:DP3"/>
    <mergeCell ref="B4:B5"/>
    <mergeCell ref="C4:C5"/>
    <mergeCell ref="D4:D5"/>
    <mergeCell ref="E4:E5"/>
    <mergeCell ref="F4:F5"/>
    <mergeCell ref="G4:G5"/>
  </mergeCells>
  <phoneticPr fontId="41" type="noConversion"/>
  <hyperlinks>
    <hyperlink ref="C48" r:id="rId1" xr:uid="{8B12BA06-D10D-4F74-98AF-20AF166EFABA}"/>
    <hyperlink ref="C40" r:id="rId2" xr:uid="{EB6425DC-3055-4C0D-9083-BA6F78A6CB1E}"/>
    <hyperlink ref="C38" r:id="rId3" display="http://www.vcapcd.org/pubs/Engineering/AirToxics/combem.pdf" xr:uid="{E48D7743-F3D1-4585-909B-3A6EC4D0F4DA}"/>
    <hyperlink ref="C46" r:id="rId4" xr:uid="{D813881D-D5E4-4F4A-AAFB-1FC468BA64C2}"/>
    <hyperlink ref="C44" r:id="rId5" xr:uid="{338C7B69-6F5E-4403-AE4D-4A2A460C8D3E}"/>
    <hyperlink ref="C52" r:id="rId6" xr:uid="{70459F9C-70ED-4E9F-86D8-CB2141263C04}"/>
    <hyperlink ref="C42" r:id="rId7" xr:uid="{67857089-C7A6-4DDE-97A7-C1E026ECE3CE}"/>
    <hyperlink ref="C50" r:id="rId8" xr:uid="{DCE239DA-9041-43AF-945F-656466118A8E}"/>
  </hyperlinks>
  <pageMargins left="0.7" right="0.7" top="0.75" bottom="0.75" header="0.3" footer="0.3"/>
  <pageSetup orientation="portrait" horizontalDpi="1200" verticalDpi="1200"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K69"/>
  <sheetViews>
    <sheetView showGridLines="0" zoomScaleNormal="100" workbookViewId="0">
      <pane xSplit="7" topLeftCell="AM1" activePane="topRight" state="frozen"/>
      <selection pane="topRight" activeCell="B1" sqref="B1:G1"/>
    </sheetView>
  </sheetViews>
  <sheetFormatPr defaultRowHeight="14.5" x14ac:dyDescent="0.35"/>
  <cols>
    <col min="1" max="1" width="1.7265625" customWidth="1"/>
    <col min="2" max="2" width="3.7265625" customWidth="1"/>
    <col min="3" max="3" width="31.54296875" customWidth="1"/>
    <col min="4" max="4" width="12.7265625" customWidth="1"/>
    <col min="5" max="5" width="60.54296875" customWidth="1"/>
    <col min="6" max="6" width="17.1796875" style="32" customWidth="1"/>
    <col min="7" max="7" width="14.7265625" customWidth="1"/>
    <col min="8" max="8" width="24.54296875" hidden="1" customWidth="1"/>
    <col min="9" max="10" width="11.1796875" hidden="1" customWidth="1"/>
    <col min="11" max="11" width="8.7265625" hidden="1" customWidth="1"/>
    <col min="12" max="12" width="8" hidden="1" customWidth="1"/>
    <col min="13" max="13" width="10.81640625" hidden="1" customWidth="1"/>
    <col min="14" max="14" width="10.7265625" hidden="1" customWidth="1"/>
    <col min="15" max="15" width="14.1796875" hidden="1" customWidth="1"/>
    <col min="16" max="16" width="18.1796875" hidden="1" customWidth="1"/>
    <col min="17" max="17" width="8" hidden="1" customWidth="1"/>
    <col min="18" max="18" width="8.54296875" hidden="1" customWidth="1"/>
    <col min="19" max="19" width="8" hidden="1" customWidth="1"/>
    <col min="20" max="20" width="12.7265625" style="8" hidden="1" customWidth="1"/>
    <col min="21" max="21" width="9.81640625" hidden="1" customWidth="1"/>
    <col min="22" max="22" width="14.26953125" hidden="1" customWidth="1"/>
    <col min="23" max="23" width="8" hidden="1" customWidth="1"/>
    <col min="24" max="24" width="12.54296875" hidden="1" customWidth="1"/>
    <col min="25" max="25" width="10" hidden="1" customWidth="1"/>
    <col min="26" max="27" width="17.453125" hidden="1" customWidth="1"/>
    <col min="28" max="28" width="10.81640625" hidden="1" customWidth="1"/>
    <col min="29" max="29" width="8" hidden="1" customWidth="1"/>
    <col min="30" max="30" width="15.453125" hidden="1" customWidth="1"/>
    <col min="31" max="31" width="17.26953125" hidden="1" customWidth="1"/>
    <col min="32" max="32" width="14.54296875" hidden="1" customWidth="1"/>
    <col min="33" max="33" width="12.54296875" hidden="1" customWidth="1"/>
    <col min="34" max="34" width="9.1796875" hidden="1" customWidth="1"/>
    <col min="35" max="35" width="13.26953125" hidden="1" customWidth="1"/>
    <col min="36" max="36" width="10.453125" hidden="1" customWidth="1"/>
    <col min="37" max="37" width="12.453125" hidden="1" customWidth="1"/>
    <col min="38" max="38" width="19.54296875" hidden="1" customWidth="1"/>
    <col min="39" max="39" width="9.1796875" customWidth="1"/>
    <col min="40" max="40" width="16.453125" hidden="1" customWidth="1"/>
    <col min="41" max="41" width="22.81640625" hidden="1" customWidth="1"/>
    <col min="42" max="42" width="16.453125" hidden="1" customWidth="1"/>
    <col min="43" max="43" width="21.453125" hidden="1" customWidth="1"/>
    <col min="44" max="44" width="22.7265625" hidden="1" customWidth="1"/>
    <col min="45" max="45" width="14.7265625" hidden="1" customWidth="1"/>
    <col min="46" max="46" width="17.26953125" hidden="1" customWidth="1"/>
    <col min="47" max="47" width="22.1796875" hidden="1" customWidth="1"/>
    <col min="48" max="48" width="9.1796875" hidden="1" customWidth="1"/>
    <col min="49" max="49" width="15.7265625" hidden="1" customWidth="1"/>
    <col min="50" max="50" width="12.1796875" hidden="1" customWidth="1"/>
    <col min="51" max="51" width="9.81640625" hidden="1" customWidth="1"/>
    <col min="52" max="52" width="8.81640625" hidden="1" customWidth="1"/>
    <col min="53" max="53" width="23.54296875" hidden="1" customWidth="1"/>
    <col min="54" max="54" width="20" hidden="1" customWidth="1"/>
    <col min="55" max="56" width="21.54296875" hidden="1" customWidth="1"/>
    <col min="57" max="57" width="21.54296875" style="8" hidden="1" customWidth="1"/>
    <col min="58" max="58" width="12.453125" hidden="1" customWidth="1"/>
    <col min="59" max="60" width="14.81640625" hidden="1" customWidth="1"/>
    <col min="61" max="62" width="20.7265625" hidden="1" customWidth="1"/>
    <col min="63" max="63" width="14.26953125" hidden="1" customWidth="1"/>
    <col min="64" max="64" width="9.54296875" hidden="1" customWidth="1"/>
    <col min="65" max="65" width="15.1796875" hidden="1" customWidth="1"/>
    <col min="66" max="66" width="42.81640625" hidden="1" customWidth="1"/>
    <col min="67" max="68" width="39.26953125" hidden="1" customWidth="1"/>
    <col min="69" max="71" width="39.81640625" hidden="1" customWidth="1"/>
    <col min="72" max="75" width="36.26953125" hidden="1" customWidth="1"/>
    <col min="76" max="76" width="10.1796875" customWidth="1"/>
    <col min="77" max="77" width="18.7265625" hidden="1" customWidth="1"/>
    <col min="78" max="78" width="19.1796875" hidden="1" customWidth="1"/>
    <col min="79" max="79" width="18.1796875" bestFit="1" customWidth="1"/>
    <col min="80" max="80" width="24.7265625" hidden="1" customWidth="1"/>
    <col min="81" max="81" width="10.54296875" hidden="1" customWidth="1"/>
    <col min="82" max="82" width="17" hidden="1" customWidth="1"/>
    <col min="83" max="83" width="16.81640625" hidden="1" customWidth="1"/>
    <col min="84" max="84" width="20" hidden="1" customWidth="1"/>
    <col min="85" max="85" width="21.54296875" hidden="1" customWidth="1"/>
    <col min="86" max="86" width="24.453125" hidden="1" customWidth="1"/>
    <col min="87" max="87" width="20.54296875" hidden="1" customWidth="1"/>
    <col min="88" max="88" width="22.7265625" hidden="1" customWidth="1"/>
    <col min="89" max="89" width="13.81640625" hidden="1" customWidth="1"/>
    <col min="90" max="90" width="43.26953125" hidden="1" customWidth="1"/>
    <col min="91" max="91" width="39.7265625" hidden="1" customWidth="1"/>
    <col min="92" max="92" width="25.81640625" hidden="1" customWidth="1"/>
    <col min="93" max="93" width="39.1796875" hidden="1" customWidth="1"/>
    <col min="94" max="95" width="35.54296875" hidden="1" customWidth="1"/>
    <col min="96" max="96" width="19.453125" hidden="1" customWidth="1"/>
    <col min="97" max="97" width="9.54296875" hidden="1" customWidth="1"/>
    <col min="98" max="98" width="15.1796875" hidden="1" customWidth="1"/>
    <col min="99" max="99" width="15.1796875" style="8" hidden="1" customWidth="1"/>
    <col min="100" max="100" width="18.1796875" hidden="1" customWidth="1"/>
    <col min="101" max="101" width="11" hidden="1" customWidth="1"/>
    <col min="102" max="102" width="17.453125" hidden="1" customWidth="1"/>
    <col min="103" max="103" width="7.81640625" hidden="1" customWidth="1"/>
    <col min="104" max="104" width="9.453125" hidden="1" customWidth="1"/>
    <col min="105" max="105" width="8.54296875" hidden="1" customWidth="1"/>
    <col min="106" max="106" width="36.7265625" hidden="1" customWidth="1"/>
    <col min="107" max="107" width="33.1796875" hidden="1" customWidth="1"/>
    <col min="108" max="108" width="26.81640625" hidden="1" customWidth="1"/>
    <col min="109" max="109" width="8.81640625" bestFit="1" customWidth="1"/>
    <col min="110" max="110" width="18.7265625" hidden="1" customWidth="1"/>
    <col min="111" max="111" width="22.453125" hidden="1" customWidth="1"/>
    <col min="112" max="112" width="24.26953125" hidden="1" customWidth="1"/>
    <col min="113" max="113" width="24.26953125" customWidth="1"/>
    <col min="114" max="114" width="46.7265625" style="8" hidden="1" customWidth="1"/>
    <col min="115" max="115" width="46" style="8" hidden="1" customWidth="1"/>
    <col min="116" max="116" width="14.7265625" hidden="1" customWidth="1"/>
    <col min="117" max="117" width="20.26953125" hidden="1" customWidth="1"/>
    <col min="118" max="118" width="8.453125" hidden="1" customWidth="1"/>
    <col min="119" max="119" width="10.1796875" hidden="1" customWidth="1"/>
    <col min="120" max="120" width="9.54296875" hidden="1" customWidth="1"/>
  </cols>
  <sheetData>
    <row r="1" spans="2:141" ht="31" x14ac:dyDescent="0.7">
      <c r="B1" s="552" t="s">
        <v>446</v>
      </c>
      <c r="C1" s="552"/>
      <c r="D1" s="552"/>
      <c r="E1" s="552"/>
      <c r="F1" s="552"/>
      <c r="G1" s="552"/>
      <c r="H1" s="518"/>
      <c r="I1" s="506"/>
      <c r="J1" s="506"/>
      <c r="K1" s="32"/>
      <c r="L1" s="32"/>
      <c r="M1" s="32"/>
      <c r="N1" s="32"/>
      <c r="O1" s="32"/>
      <c r="P1" s="32"/>
      <c r="Q1" s="32"/>
      <c r="R1" s="32"/>
      <c r="S1" s="32"/>
      <c r="T1" s="24"/>
      <c r="U1" s="32"/>
      <c r="V1" s="32"/>
      <c r="W1" s="32"/>
      <c r="X1" s="32"/>
      <c r="Y1" s="32"/>
      <c r="Z1" s="32"/>
      <c r="AA1" s="32"/>
      <c r="AB1" s="32"/>
      <c r="AC1" s="32"/>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196"/>
      <c r="BF1" s="25"/>
      <c r="BG1" s="25"/>
      <c r="BH1" s="25"/>
      <c r="BI1" s="25"/>
      <c r="BJ1" s="25"/>
      <c r="BK1" s="25"/>
      <c r="BL1" s="25"/>
      <c r="BM1" s="25"/>
      <c r="BN1" s="25"/>
      <c r="BO1" s="25"/>
      <c r="BP1" s="25"/>
      <c r="BQ1" s="25"/>
      <c r="BR1" s="25"/>
      <c r="BS1" s="25"/>
      <c r="BT1" s="25"/>
      <c r="BU1" s="25"/>
      <c r="BV1" s="25"/>
      <c r="BW1" s="25"/>
      <c r="BX1" s="25"/>
      <c r="BY1" s="25"/>
      <c r="BZ1" s="25"/>
      <c r="CA1" s="25"/>
      <c r="CB1" s="32"/>
      <c r="CC1" s="32"/>
      <c r="CD1" s="32"/>
      <c r="CE1" s="32"/>
      <c r="CF1" s="25"/>
      <c r="CG1" s="25"/>
      <c r="CH1" s="25"/>
      <c r="CI1" s="25"/>
      <c r="CJ1" s="25"/>
      <c r="CK1" s="25"/>
      <c r="CL1" s="25"/>
      <c r="CM1" s="25"/>
      <c r="CN1" s="25"/>
      <c r="CO1" s="25"/>
      <c r="CP1" s="25"/>
      <c r="CQ1" s="25"/>
      <c r="CR1" s="25"/>
      <c r="CS1" s="25"/>
      <c r="CT1" s="25"/>
      <c r="CU1" s="196"/>
      <c r="CV1" s="25"/>
      <c r="CW1" s="25"/>
      <c r="CX1" s="25"/>
      <c r="CY1" s="32"/>
      <c r="CZ1" s="32"/>
      <c r="DA1" s="25"/>
      <c r="DB1" s="25"/>
      <c r="DC1" s="25"/>
      <c r="DD1" s="25"/>
      <c r="DE1" s="25"/>
      <c r="DF1" s="25"/>
      <c r="DG1" s="25"/>
      <c r="DH1" s="32"/>
      <c r="DI1" s="32"/>
      <c r="DJ1" s="24"/>
      <c r="DK1" s="24"/>
      <c r="DL1" s="25"/>
      <c r="DM1" s="25"/>
      <c r="DN1" s="25"/>
      <c r="DO1" s="25"/>
      <c r="DP1" s="25"/>
    </row>
    <row r="2" spans="2:141" ht="13.5" customHeight="1" thickBot="1" x14ac:dyDescent="0.7">
      <c r="D2" s="32"/>
      <c r="K2" s="32"/>
      <c r="L2" s="79"/>
      <c r="M2" s="79"/>
      <c r="N2" s="79"/>
      <c r="O2" s="79"/>
      <c r="P2" s="79"/>
      <c r="Q2" s="79"/>
      <c r="R2" s="79"/>
      <c r="S2" s="79"/>
      <c r="T2" s="197"/>
      <c r="U2" s="79"/>
      <c r="V2" s="79"/>
      <c r="W2" s="79"/>
      <c r="X2" s="79"/>
      <c r="Y2" s="79"/>
      <c r="Z2" s="79"/>
      <c r="AA2" s="79"/>
      <c r="AB2" s="79"/>
      <c r="AC2" s="79"/>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2"/>
      <c r="BF2" s="26"/>
      <c r="BG2" s="26"/>
      <c r="BH2" s="26"/>
      <c r="BI2" s="26"/>
      <c r="BJ2" s="26"/>
      <c r="BK2" s="26"/>
      <c r="BL2" s="26"/>
      <c r="BM2" s="26"/>
      <c r="BN2" s="26"/>
      <c r="BO2" s="26"/>
      <c r="BP2" s="26"/>
      <c r="BQ2" s="26"/>
      <c r="BR2" s="26"/>
      <c r="BS2" s="26"/>
      <c r="BT2" s="26"/>
      <c r="BU2" s="26"/>
      <c r="BV2" s="26"/>
      <c r="BW2" s="26"/>
      <c r="BX2" s="26"/>
      <c r="BY2" s="26"/>
      <c r="BZ2" s="26"/>
      <c r="CA2" s="26"/>
      <c r="CB2" s="32"/>
      <c r="CC2" s="32"/>
      <c r="CD2" s="32"/>
      <c r="CE2" s="32"/>
      <c r="CF2" s="26"/>
      <c r="CG2" s="26"/>
      <c r="CH2" s="26"/>
      <c r="CI2" s="26"/>
      <c r="CJ2" s="26"/>
      <c r="CK2" s="26"/>
      <c r="CL2" s="26"/>
      <c r="CM2" s="26"/>
      <c r="CN2" s="26"/>
      <c r="CO2" s="26"/>
      <c r="CP2" s="26"/>
      <c r="CQ2" s="26"/>
      <c r="CR2" s="26"/>
      <c r="CS2" s="26"/>
      <c r="CT2" s="26"/>
      <c r="CU2" s="22"/>
      <c r="CV2" s="26"/>
      <c r="CW2" s="26"/>
      <c r="CX2" s="26"/>
      <c r="CY2" s="32"/>
      <c r="CZ2" s="32"/>
      <c r="DA2" s="26"/>
      <c r="DB2" s="26"/>
      <c r="DC2" s="26"/>
      <c r="DD2" s="26"/>
      <c r="DE2" s="26"/>
      <c r="DF2" s="26"/>
      <c r="DG2" s="26"/>
      <c r="DH2" s="32"/>
      <c r="DI2" s="32"/>
      <c r="DJ2" s="24"/>
      <c r="DK2" s="24"/>
      <c r="DL2" s="26"/>
      <c r="DM2" s="26"/>
      <c r="DN2" s="26"/>
      <c r="DO2" s="26"/>
      <c r="DP2" s="26"/>
    </row>
    <row r="3" spans="2:141" ht="21.5" thickBot="1" x14ac:dyDescent="0.55000000000000004">
      <c r="F3" s="178"/>
      <c r="G3" s="145"/>
      <c r="H3" s="524" t="s">
        <v>388</v>
      </c>
      <c r="I3" s="554" t="s">
        <v>88</v>
      </c>
      <c r="J3" s="554"/>
      <c r="K3" s="554"/>
      <c r="L3" s="554"/>
      <c r="M3" s="554"/>
      <c r="N3" s="554"/>
      <c r="O3" s="554"/>
      <c r="P3" s="554"/>
      <c r="Q3" s="554"/>
      <c r="R3" s="554"/>
      <c r="S3" s="554"/>
      <c r="T3" s="554"/>
      <c r="U3" s="554"/>
      <c r="V3" s="554"/>
      <c r="W3" s="554"/>
      <c r="X3" s="554"/>
      <c r="Y3" s="554"/>
      <c r="Z3" s="554"/>
      <c r="AA3" s="554"/>
      <c r="AB3" s="554"/>
      <c r="AC3" s="555"/>
      <c r="AD3" s="553" t="s">
        <v>195</v>
      </c>
      <c r="AE3" s="554"/>
      <c r="AF3" s="554"/>
      <c r="AG3" s="554"/>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554"/>
      <c r="BO3" s="554"/>
      <c r="BP3" s="554"/>
      <c r="BQ3" s="554"/>
      <c r="BR3" s="554"/>
      <c r="BS3" s="554"/>
      <c r="BT3" s="554"/>
      <c r="BU3" s="554"/>
      <c r="BV3" s="554"/>
      <c r="BW3" s="554"/>
      <c r="BX3" s="554"/>
      <c r="BY3" s="554"/>
      <c r="BZ3" s="554"/>
      <c r="CA3" s="554"/>
      <c r="CB3" s="554"/>
      <c r="CC3" s="554"/>
      <c r="CD3" s="554"/>
      <c r="CE3" s="554"/>
      <c r="CF3" s="554"/>
      <c r="CG3" s="554"/>
      <c r="CH3" s="554"/>
      <c r="CI3" s="554"/>
      <c r="CJ3" s="554"/>
      <c r="CK3" s="554"/>
      <c r="CL3" s="554"/>
      <c r="CM3" s="554"/>
      <c r="CN3" s="554"/>
      <c r="CO3" s="554"/>
      <c r="CP3" s="554"/>
      <c r="CQ3" s="554"/>
      <c r="CR3" s="554"/>
      <c r="CS3" s="554"/>
      <c r="CT3" s="554"/>
      <c r="CU3" s="554"/>
      <c r="CV3" s="554"/>
      <c r="CW3" s="554"/>
      <c r="CX3" s="554"/>
      <c r="CY3" s="554"/>
      <c r="CZ3" s="554"/>
      <c r="DA3" s="554"/>
      <c r="DB3" s="554"/>
      <c r="DC3" s="554"/>
      <c r="DD3" s="554"/>
      <c r="DE3" s="554"/>
      <c r="DF3" s="554"/>
      <c r="DG3" s="554"/>
      <c r="DH3" s="554"/>
      <c r="DI3" s="554"/>
      <c r="DJ3" s="554"/>
      <c r="DK3" s="554"/>
      <c r="DL3" s="554"/>
      <c r="DM3" s="554"/>
      <c r="DN3" s="554"/>
      <c r="DO3" s="554"/>
      <c r="DP3" s="555"/>
      <c r="DQ3" s="45"/>
    </row>
    <row r="4" spans="2:141" ht="15.75" customHeight="1" x14ac:dyDescent="0.35">
      <c r="B4" s="568"/>
      <c r="C4" s="556" t="s">
        <v>0</v>
      </c>
      <c r="D4" s="558" t="s">
        <v>326</v>
      </c>
      <c r="E4" s="560" t="s">
        <v>1</v>
      </c>
      <c r="F4" s="562" t="s">
        <v>2</v>
      </c>
      <c r="G4" s="564" t="s">
        <v>142</v>
      </c>
      <c r="H4" s="525" t="s">
        <v>389</v>
      </c>
      <c r="I4" s="240" t="s">
        <v>125</v>
      </c>
      <c r="J4" s="240" t="s">
        <v>254</v>
      </c>
      <c r="K4" s="1" t="s">
        <v>3</v>
      </c>
      <c r="L4" s="67" t="s">
        <v>4</v>
      </c>
      <c r="M4" s="1" t="s">
        <v>5</v>
      </c>
      <c r="N4" s="1" t="s">
        <v>6</v>
      </c>
      <c r="O4" s="1" t="s">
        <v>150</v>
      </c>
      <c r="P4" s="67" t="s">
        <v>151</v>
      </c>
      <c r="Q4" s="67" t="s">
        <v>7</v>
      </c>
      <c r="R4" s="1" t="s">
        <v>8</v>
      </c>
      <c r="S4" s="1" t="s">
        <v>9</v>
      </c>
      <c r="T4" s="1" t="s">
        <v>10</v>
      </c>
      <c r="U4" s="1" t="s">
        <v>11</v>
      </c>
      <c r="V4" s="67" t="s">
        <v>12</v>
      </c>
      <c r="W4" s="1" t="s">
        <v>13</v>
      </c>
      <c r="X4" s="67" t="s">
        <v>127</v>
      </c>
      <c r="Y4" s="1" t="s">
        <v>14</v>
      </c>
      <c r="Z4" s="1" t="s">
        <v>126</v>
      </c>
      <c r="AA4" s="1" t="s">
        <v>348</v>
      </c>
      <c r="AB4" s="1" t="s">
        <v>15</v>
      </c>
      <c r="AC4" s="72" t="s">
        <v>16</v>
      </c>
      <c r="AD4" s="142" t="s">
        <v>17</v>
      </c>
      <c r="AE4" s="67" t="s">
        <v>18</v>
      </c>
      <c r="AF4" s="1" t="s">
        <v>19</v>
      </c>
      <c r="AG4" s="67" t="s">
        <v>120</v>
      </c>
      <c r="AH4" s="1" t="s">
        <v>20</v>
      </c>
      <c r="AI4" s="1" t="s">
        <v>121</v>
      </c>
      <c r="AJ4" s="1" t="s">
        <v>21</v>
      </c>
      <c r="AK4" s="67" t="s">
        <v>22</v>
      </c>
      <c r="AL4" s="1" t="s">
        <v>23</v>
      </c>
      <c r="AM4" s="1" t="s">
        <v>24</v>
      </c>
      <c r="AN4" s="1" t="s">
        <v>25</v>
      </c>
      <c r="AO4" s="1" t="s">
        <v>26</v>
      </c>
      <c r="AP4" s="67" t="s">
        <v>27</v>
      </c>
      <c r="AQ4" s="67" t="s">
        <v>199</v>
      </c>
      <c r="AR4" s="1" t="s">
        <v>28</v>
      </c>
      <c r="AS4" s="1" t="s">
        <v>152</v>
      </c>
      <c r="AT4" s="1" t="s">
        <v>314</v>
      </c>
      <c r="AU4" s="1" t="s">
        <v>29</v>
      </c>
      <c r="AV4" s="1" t="s">
        <v>109</v>
      </c>
      <c r="AW4" s="1" t="s">
        <v>94</v>
      </c>
      <c r="AX4" s="1" t="s">
        <v>30</v>
      </c>
      <c r="AY4" s="1" t="s">
        <v>31</v>
      </c>
      <c r="AZ4" s="67" t="s">
        <v>318</v>
      </c>
      <c r="BA4" s="1" t="s">
        <v>93</v>
      </c>
      <c r="BB4" s="1" t="s">
        <v>178</v>
      </c>
      <c r="BC4" s="67" t="s">
        <v>153</v>
      </c>
      <c r="BD4" s="67" t="s">
        <v>154</v>
      </c>
      <c r="BE4" s="1" t="s">
        <v>220</v>
      </c>
      <c r="BF4" s="1" t="s">
        <v>179</v>
      </c>
      <c r="BG4" s="1" t="s">
        <v>155</v>
      </c>
      <c r="BH4" s="1" t="s">
        <v>316</v>
      </c>
      <c r="BI4" s="1" t="s">
        <v>32</v>
      </c>
      <c r="BJ4" s="1" t="s">
        <v>222</v>
      </c>
      <c r="BK4" s="67" t="s">
        <v>33</v>
      </c>
      <c r="BL4" s="67" t="s">
        <v>34</v>
      </c>
      <c r="BM4" s="1" t="s">
        <v>35</v>
      </c>
      <c r="BN4" s="1" t="s">
        <v>241</v>
      </c>
      <c r="BO4" s="1" t="s">
        <v>243</v>
      </c>
      <c r="BP4" s="1" t="s">
        <v>244</v>
      </c>
      <c r="BQ4" s="1" t="s">
        <v>238</v>
      </c>
      <c r="BR4" s="1" t="s">
        <v>239</v>
      </c>
      <c r="BS4" s="1" t="s">
        <v>240</v>
      </c>
      <c r="BT4" s="1" t="s">
        <v>245</v>
      </c>
      <c r="BU4" s="1" t="s">
        <v>246</v>
      </c>
      <c r="BV4" s="1" t="s">
        <v>247</v>
      </c>
      <c r="BW4" s="1" t="s">
        <v>248</v>
      </c>
      <c r="BX4" s="1" t="s">
        <v>40</v>
      </c>
      <c r="BY4" s="1" t="s">
        <v>90</v>
      </c>
      <c r="BZ4" s="1" t="s">
        <v>224</v>
      </c>
      <c r="CA4" s="322" t="s">
        <v>376</v>
      </c>
      <c r="CB4" s="1" t="s">
        <v>36</v>
      </c>
      <c r="CC4" s="1" t="s">
        <v>37</v>
      </c>
      <c r="CD4" s="1" t="s">
        <v>315</v>
      </c>
      <c r="CE4" s="67" t="s">
        <v>317</v>
      </c>
      <c r="CF4" s="1" t="s">
        <v>92</v>
      </c>
      <c r="CG4" s="1" t="s">
        <v>156</v>
      </c>
      <c r="CH4" s="1" t="s">
        <v>157</v>
      </c>
      <c r="CI4" s="1" t="s">
        <v>38</v>
      </c>
      <c r="CJ4" s="67" t="s">
        <v>158</v>
      </c>
      <c r="CK4" s="1" t="s">
        <v>39</v>
      </c>
      <c r="CL4" s="1" t="s">
        <v>242</v>
      </c>
      <c r="CM4" s="1" t="s">
        <v>249</v>
      </c>
      <c r="CN4" s="1" t="s">
        <v>198</v>
      </c>
      <c r="CO4" s="1" t="s">
        <v>237</v>
      </c>
      <c r="CP4" s="1" t="s">
        <v>250</v>
      </c>
      <c r="CQ4" s="1" t="s">
        <v>251</v>
      </c>
      <c r="CR4" s="1" t="s">
        <v>91</v>
      </c>
      <c r="CS4" s="67" t="s">
        <v>41</v>
      </c>
      <c r="CT4" s="67" t="s">
        <v>42</v>
      </c>
      <c r="CU4" s="1" t="s">
        <v>329</v>
      </c>
      <c r="CV4" s="67" t="s">
        <v>253</v>
      </c>
      <c r="CW4" s="1" t="s">
        <v>82</v>
      </c>
      <c r="CX4" s="1" t="s">
        <v>83</v>
      </c>
      <c r="CY4" s="67" t="s">
        <v>43</v>
      </c>
      <c r="CZ4" s="67" t="s">
        <v>235</v>
      </c>
      <c r="DA4" s="1" t="s">
        <v>44</v>
      </c>
      <c r="DB4" s="1" t="s">
        <v>236</v>
      </c>
      <c r="DC4" s="1" t="s">
        <v>252</v>
      </c>
      <c r="DD4" s="1" t="s">
        <v>160</v>
      </c>
      <c r="DE4" s="1" t="s">
        <v>45</v>
      </c>
      <c r="DF4" s="1" t="s">
        <v>122</v>
      </c>
      <c r="DG4" s="1" t="s">
        <v>161</v>
      </c>
      <c r="DH4" s="67" t="s">
        <v>162</v>
      </c>
      <c r="DI4" s="67" t="s">
        <v>223</v>
      </c>
      <c r="DJ4" s="1" t="s">
        <v>303</v>
      </c>
      <c r="DK4" s="1" t="s">
        <v>304</v>
      </c>
      <c r="DL4" s="1" t="s">
        <v>46</v>
      </c>
      <c r="DM4" s="1" t="s">
        <v>211</v>
      </c>
      <c r="DN4" s="1" t="s">
        <v>163</v>
      </c>
      <c r="DO4" s="1" t="s">
        <v>164</v>
      </c>
      <c r="DP4" s="2" t="s">
        <v>165</v>
      </c>
      <c r="DQ4" s="14"/>
      <c r="DR4" s="8"/>
      <c r="DS4" s="8"/>
      <c r="DT4" s="8"/>
      <c r="DU4" s="8"/>
      <c r="DV4" s="8"/>
      <c r="DW4" s="8"/>
      <c r="DX4" s="8"/>
      <c r="DY4" s="8"/>
      <c r="DZ4" s="8"/>
      <c r="EA4" s="8"/>
      <c r="EB4" s="8"/>
      <c r="EC4" s="8"/>
      <c r="ED4" s="8"/>
      <c r="EE4" s="8"/>
      <c r="EF4" s="8"/>
      <c r="EG4" s="8"/>
      <c r="EH4" s="8"/>
      <c r="EI4" s="8"/>
      <c r="EJ4" s="8"/>
      <c r="EK4" s="8"/>
    </row>
    <row r="5" spans="2:141" ht="15.75" customHeight="1" thickBot="1" x14ac:dyDescent="0.4">
      <c r="B5" s="569"/>
      <c r="C5" s="557"/>
      <c r="D5" s="559"/>
      <c r="E5" s="561"/>
      <c r="F5" s="563"/>
      <c r="G5" s="565"/>
      <c r="H5" s="526">
        <v>7446095</v>
      </c>
      <c r="I5" s="78">
        <v>7429905</v>
      </c>
      <c r="J5" s="78">
        <v>7440360</v>
      </c>
      <c r="K5" s="5">
        <v>7440382</v>
      </c>
      <c r="L5" s="78">
        <v>7440393</v>
      </c>
      <c r="M5" s="5">
        <v>7440417</v>
      </c>
      <c r="N5" s="5">
        <v>7440439</v>
      </c>
      <c r="O5" s="5">
        <v>18540299</v>
      </c>
      <c r="P5" s="78">
        <v>7440473</v>
      </c>
      <c r="Q5" s="78">
        <v>7440484</v>
      </c>
      <c r="R5" s="5">
        <v>7440508</v>
      </c>
      <c r="S5" s="5">
        <v>7439921</v>
      </c>
      <c r="T5" s="5">
        <v>7439965</v>
      </c>
      <c r="U5" s="5">
        <v>7439976</v>
      </c>
      <c r="V5" s="78">
        <v>7439987</v>
      </c>
      <c r="W5" s="5">
        <v>7440020</v>
      </c>
      <c r="X5" s="78">
        <v>7723140</v>
      </c>
      <c r="Y5" s="5">
        <v>7782492</v>
      </c>
      <c r="Z5" s="5">
        <v>1175</v>
      </c>
      <c r="AA5" s="5">
        <v>9960</v>
      </c>
      <c r="AB5" s="5">
        <v>7440622</v>
      </c>
      <c r="AC5" s="91">
        <v>7440666</v>
      </c>
      <c r="AD5" s="143">
        <v>83329</v>
      </c>
      <c r="AE5" s="78">
        <v>208968</v>
      </c>
      <c r="AF5" s="5">
        <v>75070</v>
      </c>
      <c r="AG5" s="78">
        <v>75058</v>
      </c>
      <c r="AH5" s="5">
        <v>107028</v>
      </c>
      <c r="AI5" s="5">
        <v>107131</v>
      </c>
      <c r="AJ5" s="5">
        <v>7664417</v>
      </c>
      <c r="AK5" s="78">
        <v>120127</v>
      </c>
      <c r="AL5" s="5">
        <v>56553</v>
      </c>
      <c r="AM5" s="5">
        <v>71432</v>
      </c>
      <c r="AN5" s="5">
        <v>50328</v>
      </c>
      <c r="AO5" s="5">
        <v>205992</v>
      </c>
      <c r="AP5" s="78">
        <v>192972</v>
      </c>
      <c r="AQ5" s="78">
        <v>191242</v>
      </c>
      <c r="AR5" s="5">
        <v>207089</v>
      </c>
      <c r="AS5" s="5">
        <v>106990</v>
      </c>
      <c r="AT5" s="5">
        <v>75150</v>
      </c>
      <c r="AU5" s="5">
        <v>56235</v>
      </c>
      <c r="AV5" s="5">
        <v>7782505</v>
      </c>
      <c r="AW5" s="5">
        <v>108907</v>
      </c>
      <c r="AX5" s="5">
        <v>67663</v>
      </c>
      <c r="AY5" s="5">
        <v>218019</v>
      </c>
      <c r="AZ5" s="78">
        <v>98828</v>
      </c>
      <c r="BA5" s="5">
        <v>53703</v>
      </c>
      <c r="BB5" s="5">
        <v>75343</v>
      </c>
      <c r="BC5" s="78">
        <v>78875</v>
      </c>
      <c r="BD5" s="78">
        <v>542756</v>
      </c>
      <c r="BE5" s="5">
        <v>106467</v>
      </c>
      <c r="BF5" s="5">
        <v>123911</v>
      </c>
      <c r="BG5" s="5">
        <v>100414</v>
      </c>
      <c r="BH5" s="5">
        <v>75003</v>
      </c>
      <c r="BI5" s="5">
        <v>106934</v>
      </c>
      <c r="BJ5" s="5">
        <v>107062</v>
      </c>
      <c r="BK5" s="78">
        <v>206440</v>
      </c>
      <c r="BL5" s="78">
        <v>86737</v>
      </c>
      <c r="BM5" s="5">
        <v>50000</v>
      </c>
      <c r="BN5" s="5">
        <v>35822469</v>
      </c>
      <c r="BO5" s="5">
        <v>67562394</v>
      </c>
      <c r="BP5" s="5">
        <v>55673897</v>
      </c>
      <c r="BQ5" s="5">
        <v>39227286</v>
      </c>
      <c r="BR5" s="5">
        <v>57653857</v>
      </c>
      <c r="BS5" s="5">
        <v>19408743</v>
      </c>
      <c r="BT5" s="5">
        <v>70648269</v>
      </c>
      <c r="BU5" s="5">
        <v>57117449</v>
      </c>
      <c r="BV5" s="5">
        <v>72918219</v>
      </c>
      <c r="BW5" s="5">
        <v>60851345</v>
      </c>
      <c r="BX5" s="5">
        <v>110543</v>
      </c>
      <c r="BY5" s="5">
        <v>7647010</v>
      </c>
      <c r="BZ5" s="5">
        <v>7664393</v>
      </c>
      <c r="CA5" s="323">
        <v>7783064</v>
      </c>
      <c r="CB5" s="5">
        <v>193395</v>
      </c>
      <c r="CC5" s="5">
        <v>67561</v>
      </c>
      <c r="CD5" s="5">
        <v>74839</v>
      </c>
      <c r="CE5" s="78">
        <v>74873</v>
      </c>
      <c r="CF5" s="5">
        <v>71556</v>
      </c>
      <c r="CG5" s="5">
        <v>78933</v>
      </c>
      <c r="CH5" s="5">
        <v>1634044</v>
      </c>
      <c r="CI5" s="5">
        <v>75092</v>
      </c>
      <c r="CJ5" s="78">
        <v>91576</v>
      </c>
      <c r="CK5" s="5">
        <v>91203</v>
      </c>
      <c r="CL5" s="5">
        <v>3268879</v>
      </c>
      <c r="CM5" s="5">
        <v>39001020</v>
      </c>
      <c r="CN5" s="5" t="s">
        <v>159</v>
      </c>
      <c r="CO5" s="5">
        <v>40321764</v>
      </c>
      <c r="CP5" s="5">
        <v>57117416</v>
      </c>
      <c r="CQ5" s="5">
        <v>57117314</v>
      </c>
      <c r="CR5" s="5">
        <v>127184</v>
      </c>
      <c r="CS5" s="78">
        <v>198550</v>
      </c>
      <c r="CT5" s="78">
        <v>85018</v>
      </c>
      <c r="CU5" s="5">
        <v>108952</v>
      </c>
      <c r="CV5" s="78">
        <v>123386</v>
      </c>
      <c r="CW5" s="5">
        <v>115071</v>
      </c>
      <c r="CX5" s="5">
        <v>75569</v>
      </c>
      <c r="CY5" s="78">
        <v>129000</v>
      </c>
      <c r="CZ5" s="78">
        <v>106514</v>
      </c>
      <c r="DA5" s="5">
        <v>100425</v>
      </c>
      <c r="DB5" s="5">
        <v>1746016</v>
      </c>
      <c r="DC5" s="5">
        <v>51207319</v>
      </c>
      <c r="DD5" s="5">
        <v>79345</v>
      </c>
      <c r="DE5" s="5">
        <v>108883</v>
      </c>
      <c r="DF5" s="5">
        <v>79016</v>
      </c>
      <c r="DG5" s="5">
        <v>79005</v>
      </c>
      <c r="DH5" s="78">
        <v>95636</v>
      </c>
      <c r="DI5" s="78">
        <v>540841</v>
      </c>
      <c r="DJ5" s="5">
        <v>1085</v>
      </c>
      <c r="DK5" s="5">
        <v>1080</v>
      </c>
      <c r="DL5" s="5">
        <v>75014</v>
      </c>
      <c r="DM5" s="5">
        <v>75354</v>
      </c>
      <c r="DN5" s="5">
        <v>1330207</v>
      </c>
      <c r="DO5" s="5">
        <v>108383</v>
      </c>
      <c r="DP5" s="6">
        <v>95476</v>
      </c>
      <c r="DQ5" s="14"/>
      <c r="DR5" s="8"/>
      <c r="DS5" s="8"/>
      <c r="DT5" s="8"/>
      <c r="DU5" s="8"/>
      <c r="DV5" s="8"/>
      <c r="DW5" s="8"/>
      <c r="DX5" s="8"/>
      <c r="DY5" s="8"/>
      <c r="DZ5" s="8"/>
      <c r="EA5" s="8"/>
      <c r="EB5" s="8"/>
      <c r="EC5" s="8"/>
      <c r="ED5" s="8"/>
      <c r="EE5" s="8"/>
      <c r="EF5" s="8"/>
      <c r="EG5" s="8"/>
      <c r="EH5" s="8"/>
      <c r="EI5" s="8"/>
      <c r="EJ5" s="8"/>
      <c r="EK5" s="8"/>
    </row>
    <row r="6" spans="2:141" x14ac:dyDescent="0.35">
      <c r="B6" s="123"/>
      <c r="C6" s="278" t="s">
        <v>189</v>
      </c>
      <c r="D6" s="19"/>
      <c r="E6" s="301"/>
      <c r="F6" s="210"/>
      <c r="G6" s="21"/>
      <c r="H6" s="527"/>
      <c r="I6" s="96"/>
      <c r="J6" s="96"/>
      <c r="K6" s="8"/>
      <c r="L6" s="96"/>
      <c r="M6" s="8"/>
      <c r="N6" s="8"/>
      <c r="O6" s="8"/>
      <c r="P6" s="96"/>
      <c r="Q6" s="96"/>
      <c r="R6" s="8"/>
      <c r="S6" s="8"/>
      <c r="U6" s="8"/>
      <c r="V6" s="96"/>
      <c r="W6" s="8"/>
      <c r="X6" s="96"/>
      <c r="Y6" s="8"/>
      <c r="Z6" s="8"/>
      <c r="AA6" s="8"/>
      <c r="AB6" s="8"/>
      <c r="AC6" s="112"/>
      <c r="AD6" s="154"/>
      <c r="AE6" s="96"/>
      <c r="AF6" s="8"/>
      <c r="AG6" s="96"/>
      <c r="AH6" s="8"/>
      <c r="AI6" s="8"/>
      <c r="AJ6" s="8"/>
      <c r="AK6" s="96"/>
      <c r="AL6" s="8"/>
      <c r="AM6" s="8"/>
      <c r="AN6" s="8"/>
      <c r="AO6" s="8"/>
      <c r="AP6" s="96"/>
      <c r="AQ6" s="96"/>
      <c r="AR6" s="8"/>
      <c r="AS6" s="8"/>
      <c r="AT6" s="8"/>
      <c r="AU6" s="8"/>
      <c r="AV6" s="8"/>
      <c r="AW6" s="8"/>
      <c r="AX6" s="8"/>
      <c r="AY6" s="8"/>
      <c r="AZ6" s="96"/>
      <c r="BA6" s="8"/>
      <c r="BB6" s="8"/>
      <c r="BC6" s="96"/>
      <c r="BD6" s="96"/>
      <c r="BF6" s="8"/>
      <c r="BG6" s="8"/>
      <c r="BH6" s="8"/>
      <c r="BI6" s="8"/>
      <c r="BJ6" s="8"/>
      <c r="BK6" s="96"/>
      <c r="BL6" s="96"/>
      <c r="BM6" s="8"/>
      <c r="BN6" s="8"/>
      <c r="BO6" s="8"/>
      <c r="BP6" s="8"/>
      <c r="BQ6" s="8"/>
      <c r="BR6" s="8"/>
      <c r="BS6" s="8"/>
      <c r="BT6" s="8"/>
      <c r="BU6" s="8"/>
      <c r="BV6" s="8"/>
      <c r="BW6" s="8"/>
      <c r="BX6" s="8"/>
      <c r="BY6" s="8"/>
      <c r="BZ6" s="8"/>
      <c r="CA6" s="8"/>
      <c r="CB6" s="8"/>
      <c r="CC6" s="8"/>
      <c r="CD6" s="8"/>
      <c r="CE6" s="96"/>
      <c r="CF6" s="8"/>
      <c r="CG6" s="8"/>
      <c r="CH6" s="8"/>
      <c r="CI6" s="8"/>
      <c r="CJ6" s="96"/>
      <c r="CK6" s="8"/>
      <c r="CL6" s="8"/>
      <c r="CM6" s="8"/>
      <c r="CN6" s="8"/>
      <c r="CO6" s="8"/>
      <c r="CP6" s="8"/>
      <c r="CQ6" s="8"/>
      <c r="CR6" s="8"/>
      <c r="CS6" s="96"/>
      <c r="CT6" s="96"/>
      <c r="CV6" s="96"/>
      <c r="CW6" s="8"/>
      <c r="CX6" s="8"/>
      <c r="CY6" s="96"/>
      <c r="CZ6" s="96"/>
      <c r="DA6" s="8"/>
      <c r="DB6" s="8"/>
      <c r="DC6" s="8"/>
      <c r="DD6" s="8"/>
      <c r="DE6" s="8"/>
      <c r="DF6" s="8"/>
      <c r="DG6" s="8"/>
      <c r="DH6" s="96"/>
      <c r="DI6" s="96"/>
      <c r="DL6" s="8"/>
      <c r="DM6" s="8"/>
      <c r="DN6" s="8"/>
      <c r="DO6" s="8"/>
      <c r="DP6" s="21"/>
      <c r="DQ6" s="14"/>
      <c r="DR6" s="8"/>
      <c r="DS6" s="8"/>
      <c r="DT6" s="8"/>
      <c r="DU6" s="8"/>
      <c r="DV6" s="8"/>
      <c r="DW6" s="8"/>
      <c r="DX6" s="8"/>
      <c r="DY6" s="8"/>
      <c r="DZ6" s="8"/>
      <c r="EA6" s="8"/>
      <c r="EB6" s="8"/>
      <c r="EC6" s="8"/>
      <c r="ED6" s="8"/>
      <c r="EE6" s="8"/>
      <c r="EF6" s="8"/>
      <c r="EG6" s="8"/>
      <c r="EH6" s="8"/>
      <c r="EI6" s="8"/>
      <c r="EJ6" s="8"/>
      <c r="EK6" s="8"/>
    </row>
    <row r="7" spans="2:141" ht="16.5" x14ac:dyDescent="0.35">
      <c r="B7" s="128"/>
      <c r="C7" s="34"/>
      <c r="D7" s="32">
        <v>31000199</v>
      </c>
      <c r="E7" s="161" t="s">
        <v>79</v>
      </c>
      <c r="F7" s="54" t="s">
        <v>147</v>
      </c>
      <c r="G7" s="165" t="s">
        <v>183</v>
      </c>
      <c r="H7" s="536" t="s">
        <v>78</v>
      </c>
      <c r="I7" s="69" t="s">
        <v>78</v>
      </c>
      <c r="J7" s="69" t="s">
        <v>78</v>
      </c>
      <c r="K7" s="138" t="s">
        <v>78</v>
      </c>
      <c r="L7" s="69" t="s">
        <v>78</v>
      </c>
      <c r="M7" s="138" t="s">
        <v>78</v>
      </c>
      <c r="N7" s="138" t="s">
        <v>78</v>
      </c>
      <c r="O7" s="138" t="s">
        <v>78</v>
      </c>
      <c r="P7" s="69" t="s">
        <v>78</v>
      </c>
      <c r="Q7" s="69" t="s">
        <v>78</v>
      </c>
      <c r="R7" s="138" t="s">
        <v>78</v>
      </c>
      <c r="S7" s="138" t="s">
        <v>78</v>
      </c>
      <c r="T7" s="17" t="s">
        <v>78</v>
      </c>
      <c r="U7" s="138" t="s">
        <v>78</v>
      </c>
      <c r="V7" s="69" t="s">
        <v>78</v>
      </c>
      <c r="W7" s="138" t="s">
        <v>78</v>
      </c>
      <c r="X7" s="69" t="s">
        <v>78</v>
      </c>
      <c r="Y7" s="138" t="s">
        <v>78</v>
      </c>
      <c r="Z7" s="138" t="s">
        <v>78</v>
      </c>
      <c r="AA7" s="138" t="s">
        <v>78</v>
      </c>
      <c r="AB7" s="138" t="s">
        <v>78</v>
      </c>
      <c r="AC7" s="77" t="s">
        <v>78</v>
      </c>
      <c r="AD7" s="151" t="s">
        <v>78</v>
      </c>
      <c r="AE7" s="69" t="s">
        <v>78</v>
      </c>
      <c r="AF7" s="138" t="s">
        <v>78</v>
      </c>
      <c r="AG7" s="69" t="s">
        <v>78</v>
      </c>
      <c r="AH7" s="138" t="s">
        <v>78</v>
      </c>
      <c r="AI7" s="138" t="s">
        <v>78</v>
      </c>
      <c r="AJ7" s="138" t="s">
        <v>78</v>
      </c>
      <c r="AK7" s="69" t="s">
        <v>78</v>
      </c>
      <c r="AL7" s="138" t="s">
        <v>78</v>
      </c>
      <c r="AM7" s="137">
        <v>1E-3</v>
      </c>
      <c r="AN7" s="138" t="s">
        <v>78</v>
      </c>
      <c r="AO7" s="138" t="s">
        <v>78</v>
      </c>
      <c r="AP7" s="69" t="s">
        <v>78</v>
      </c>
      <c r="AQ7" s="69" t="s">
        <v>78</v>
      </c>
      <c r="AR7" s="138" t="s">
        <v>78</v>
      </c>
      <c r="AS7" s="138" t="s">
        <v>78</v>
      </c>
      <c r="AT7" s="138" t="s">
        <v>78</v>
      </c>
      <c r="AU7" s="138" t="s">
        <v>78</v>
      </c>
      <c r="AV7" s="138" t="s">
        <v>78</v>
      </c>
      <c r="AW7" s="138" t="s">
        <v>78</v>
      </c>
      <c r="AX7" s="138" t="s">
        <v>78</v>
      </c>
      <c r="AY7" s="138" t="s">
        <v>78</v>
      </c>
      <c r="AZ7" s="69" t="s">
        <v>78</v>
      </c>
      <c r="BA7" s="138" t="s">
        <v>78</v>
      </c>
      <c r="BB7" s="138" t="s">
        <v>78</v>
      </c>
      <c r="BC7" s="69" t="s">
        <v>78</v>
      </c>
      <c r="BD7" s="69" t="s">
        <v>78</v>
      </c>
      <c r="BE7" s="138" t="s">
        <v>78</v>
      </c>
      <c r="BF7" s="138" t="s">
        <v>78</v>
      </c>
      <c r="BG7" s="138" t="s">
        <v>78</v>
      </c>
      <c r="BH7" s="138" t="s">
        <v>78</v>
      </c>
      <c r="BI7" s="138" t="s">
        <v>78</v>
      </c>
      <c r="BJ7" s="138" t="s">
        <v>78</v>
      </c>
      <c r="BK7" s="69" t="s">
        <v>78</v>
      </c>
      <c r="BL7" s="69" t="s">
        <v>78</v>
      </c>
      <c r="BM7" s="138" t="s">
        <v>78</v>
      </c>
      <c r="BN7" s="138" t="s">
        <v>78</v>
      </c>
      <c r="BO7" s="138" t="s">
        <v>78</v>
      </c>
      <c r="BP7" s="138" t="s">
        <v>78</v>
      </c>
      <c r="BQ7" s="138" t="s">
        <v>78</v>
      </c>
      <c r="BR7" s="138" t="s">
        <v>78</v>
      </c>
      <c r="BS7" s="138" t="s">
        <v>78</v>
      </c>
      <c r="BT7" s="138" t="s">
        <v>78</v>
      </c>
      <c r="BU7" s="138" t="s">
        <v>78</v>
      </c>
      <c r="BV7" s="138" t="s">
        <v>78</v>
      </c>
      <c r="BW7" s="138" t="s">
        <v>78</v>
      </c>
      <c r="BX7" s="137">
        <v>9.9000000000000005E-2</v>
      </c>
      <c r="BY7" s="138" t="s">
        <v>78</v>
      </c>
      <c r="BZ7" s="138" t="s">
        <v>78</v>
      </c>
      <c r="CA7" s="138" t="s">
        <v>467</v>
      </c>
      <c r="CB7" s="138" t="s">
        <v>78</v>
      </c>
      <c r="CC7" s="138" t="s">
        <v>78</v>
      </c>
      <c r="CD7" s="138" t="s">
        <v>78</v>
      </c>
      <c r="CE7" s="69" t="s">
        <v>78</v>
      </c>
      <c r="CF7" s="138" t="s">
        <v>78</v>
      </c>
      <c r="CG7" s="138" t="s">
        <v>78</v>
      </c>
      <c r="CH7" s="138" t="s">
        <v>78</v>
      </c>
      <c r="CI7" s="138" t="s">
        <v>78</v>
      </c>
      <c r="CJ7" s="69" t="s">
        <v>78</v>
      </c>
      <c r="CK7" s="138" t="s">
        <v>78</v>
      </c>
      <c r="CL7" s="138" t="s">
        <v>78</v>
      </c>
      <c r="CM7" s="138" t="s">
        <v>78</v>
      </c>
      <c r="CN7" s="138" t="s">
        <v>78</v>
      </c>
      <c r="CO7" s="138" t="s">
        <v>78</v>
      </c>
      <c r="CP7" s="138" t="s">
        <v>78</v>
      </c>
      <c r="CQ7" s="138" t="s">
        <v>78</v>
      </c>
      <c r="CR7" s="138" t="s">
        <v>78</v>
      </c>
      <c r="CS7" s="69" t="s">
        <v>78</v>
      </c>
      <c r="CT7" s="69" t="s">
        <v>78</v>
      </c>
      <c r="CU7" s="17" t="s">
        <v>78</v>
      </c>
      <c r="CV7" s="69" t="s">
        <v>78</v>
      </c>
      <c r="CW7" s="138" t="s">
        <v>78</v>
      </c>
      <c r="CX7" s="138" t="s">
        <v>78</v>
      </c>
      <c r="CY7" s="69" t="s">
        <v>78</v>
      </c>
      <c r="CZ7" s="69" t="s">
        <v>78</v>
      </c>
      <c r="DA7" s="138" t="s">
        <v>78</v>
      </c>
      <c r="DB7" s="138" t="s">
        <v>78</v>
      </c>
      <c r="DC7" s="138" t="s">
        <v>78</v>
      </c>
      <c r="DD7" s="138" t="s">
        <v>78</v>
      </c>
      <c r="DE7" s="138" t="s">
        <v>78</v>
      </c>
      <c r="DF7" s="138" t="s">
        <v>78</v>
      </c>
      <c r="DG7" s="138" t="s">
        <v>78</v>
      </c>
      <c r="DH7" s="69" t="s">
        <v>78</v>
      </c>
      <c r="DI7" s="98">
        <v>8.6999999999999994E-2</v>
      </c>
      <c r="DJ7" s="138" t="s">
        <v>78</v>
      </c>
      <c r="DK7" s="138" t="s">
        <v>78</v>
      </c>
      <c r="DL7" s="138" t="s">
        <v>78</v>
      </c>
      <c r="DM7" s="138" t="s">
        <v>78</v>
      </c>
      <c r="DN7" s="138" t="s">
        <v>78</v>
      </c>
      <c r="DO7" s="138" t="s">
        <v>78</v>
      </c>
      <c r="DP7" s="315" t="s">
        <v>78</v>
      </c>
      <c r="DQ7" s="45"/>
    </row>
    <row r="8" spans="2:141" ht="15" customHeight="1" x14ac:dyDescent="0.35">
      <c r="B8" s="162"/>
      <c r="C8" s="292"/>
      <c r="D8" s="41">
        <v>30600801</v>
      </c>
      <c r="E8" s="141" t="s">
        <v>52</v>
      </c>
      <c r="F8" s="54" t="s">
        <v>147</v>
      </c>
      <c r="G8" s="165" t="s">
        <v>183</v>
      </c>
      <c r="H8" s="536" t="s">
        <v>78</v>
      </c>
      <c r="I8" s="69" t="s">
        <v>78</v>
      </c>
      <c r="J8" s="69" t="s">
        <v>78</v>
      </c>
      <c r="K8" s="138" t="s">
        <v>78</v>
      </c>
      <c r="L8" s="69" t="s">
        <v>78</v>
      </c>
      <c r="M8" s="138" t="s">
        <v>78</v>
      </c>
      <c r="N8" s="138" t="s">
        <v>78</v>
      </c>
      <c r="O8" s="138" t="s">
        <v>78</v>
      </c>
      <c r="P8" s="69" t="s">
        <v>78</v>
      </c>
      <c r="Q8" s="69" t="s">
        <v>78</v>
      </c>
      <c r="R8" s="138" t="s">
        <v>78</v>
      </c>
      <c r="S8" s="138" t="s">
        <v>78</v>
      </c>
      <c r="T8" s="17" t="s">
        <v>78</v>
      </c>
      <c r="U8" s="138" t="s">
        <v>78</v>
      </c>
      <c r="V8" s="69" t="s">
        <v>78</v>
      </c>
      <c r="W8" s="138" t="s">
        <v>78</v>
      </c>
      <c r="X8" s="69" t="s">
        <v>78</v>
      </c>
      <c r="Y8" s="138" t="s">
        <v>78</v>
      </c>
      <c r="Z8" s="138" t="s">
        <v>78</v>
      </c>
      <c r="AA8" s="138" t="s">
        <v>78</v>
      </c>
      <c r="AB8" s="138" t="s">
        <v>78</v>
      </c>
      <c r="AC8" s="77" t="s">
        <v>78</v>
      </c>
      <c r="AD8" s="151" t="s">
        <v>78</v>
      </c>
      <c r="AE8" s="69" t="s">
        <v>78</v>
      </c>
      <c r="AF8" s="138" t="s">
        <v>78</v>
      </c>
      <c r="AG8" s="69" t="s">
        <v>78</v>
      </c>
      <c r="AH8" s="138" t="s">
        <v>78</v>
      </c>
      <c r="AI8" s="138" t="s">
        <v>78</v>
      </c>
      <c r="AJ8" s="138" t="s">
        <v>78</v>
      </c>
      <c r="AK8" s="69" t="s">
        <v>78</v>
      </c>
      <c r="AL8" s="138" t="s">
        <v>78</v>
      </c>
      <c r="AM8" s="137">
        <v>1E-3</v>
      </c>
      <c r="AN8" s="138" t="s">
        <v>78</v>
      </c>
      <c r="AO8" s="138" t="s">
        <v>78</v>
      </c>
      <c r="AP8" s="69" t="s">
        <v>78</v>
      </c>
      <c r="AQ8" s="69" t="s">
        <v>78</v>
      </c>
      <c r="AR8" s="138" t="s">
        <v>78</v>
      </c>
      <c r="AS8" s="138" t="s">
        <v>78</v>
      </c>
      <c r="AT8" s="138" t="s">
        <v>78</v>
      </c>
      <c r="AU8" s="138" t="s">
        <v>78</v>
      </c>
      <c r="AV8" s="138" t="s">
        <v>78</v>
      </c>
      <c r="AW8" s="138" t="s">
        <v>78</v>
      </c>
      <c r="AX8" s="138" t="s">
        <v>78</v>
      </c>
      <c r="AY8" s="138" t="s">
        <v>78</v>
      </c>
      <c r="AZ8" s="69" t="s">
        <v>78</v>
      </c>
      <c r="BA8" s="138" t="s">
        <v>78</v>
      </c>
      <c r="BB8" s="138" t="s">
        <v>78</v>
      </c>
      <c r="BC8" s="69" t="s">
        <v>78</v>
      </c>
      <c r="BD8" s="69" t="s">
        <v>78</v>
      </c>
      <c r="BE8" s="138" t="s">
        <v>78</v>
      </c>
      <c r="BF8" s="138" t="s">
        <v>78</v>
      </c>
      <c r="BG8" s="138" t="s">
        <v>78</v>
      </c>
      <c r="BH8" s="138" t="s">
        <v>78</v>
      </c>
      <c r="BI8" s="138" t="s">
        <v>78</v>
      </c>
      <c r="BJ8" s="138" t="s">
        <v>78</v>
      </c>
      <c r="BK8" s="69" t="s">
        <v>78</v>
      </c>
      <c r="BL8" s="69" t="s">
        <v>78</v>
      </c>
      <c r="BM8" s="138" t="s">
        <v>78</v>
      </c>
      <c r="BN8" s="138" t="s">
        <v>78</v>
      </c>
      <c r="BO8" s="138" t="s">
        <v>78</v>
      </c>
      <c r="BP8" s="138" t="s">
        <v>78</v>
      </c>
      <c r="BQ8" s="138" t="s">
        <v>78</v>
      </c>
      <c r="BR8" s="138" t="s">
        <v>78</v>
      </c>
      <c r="BS8" s="138" t="s">
        <v>78</v>
      </c>
      <c r="BT8" s="138" t="s">
        <v>78</v>
      </c>
      <c r="BU8" s="138" t="s">
        <v>78</v>
      </c>
      <c r="BV8" s="138" t="s">
        <v>78</v>
      </c>
      <c r="BW8" s="138" t="s">
        <v>78</v>
      </c>
      <c r="BX8" s="137">
        <v>9.9000000000000005E-2</v>
      </c>
      <c r="BY8" s="138" t="s">
        <v>78</v>
      </c>
      <c r="BZ8" s="138" t="s">
        <v>78</v>
      </c>
      <c r="CA8" s="138" t="s">
        <v>467</v>
      </c>
      <c r="CB8" s="138" t="s">
        <v>78</v>
      </c>
      <c r="CC8" s="138" t="s">
        <v>78</v>
      </c>
      <c r="CD8" s="138" t="s">
        <v>78</v>
      </c>
      <c r="CE8" s="69" t="s">
        <v>78</v>
      </c>
      <c r="CF8" s="138" t="s">
        <v>78</v>
      </c>
      <c r="CG8" s="138" t="s">
        <v>78</v>
      </c>
      <c r="CH8" s="138" t="s">
        <v>78</v>
      </c>
      <c r="CI8" s="138" t="s">
        <v>78</v>
      </c>
      <c r="CJ8" s="69" t="s">
        <v>78</v>
      </c>
      <c r="CK8" s="138" t="s">
        <v>78</v>
      </c>
      <c r="CL8" s="138" t="s">
        <v>78</v>
      </c>
      <c r="CM8" s="138" t="s">
        <v>78</v>
      </c>
      <c r="CN8" s="138" t="s">
        <v>78</v>
      </c>
      <c r="CO8" s="138" t="s">
        <v>78</v>
      </c>
      <c r="CP8" s="138" t="s">
        <v>78</v>
      </c>
      <c r="CQ8" s="138" t="s">
        <v>78</v>
      </c>
      <c r="CR8" s="138" t="s">
        <v>78</v>
      </c>
      <c r="CS8" s="69" t="s">
        <v>78</v>
      </c>
      <c r="CT8" s="69" t="s">
        <v>78</v>
      </c>
      <c r="CU8" s="17" t="s">
        <v>78</v>
      </c>
      <c r="CV8" s="69" t="s">
        <v>78</v>
      </c>
      <c r="CW8" s="138" t="s">
        <v>78</v>
      </c>
      <c r="CX8" s="138" t="s">
        <v>78</v>
      </c>
      <c r="CY8" s="69" t="s">
        <v>78</v>
      </c>
      <c r="CZ8" s="69" t="s">
        <v>78</v>
      </c>
      <c r="DA8" s="138" t="s">
        <v>78</v>
      </c>
      <c r="DB8" s="138" t="s">
        <v>78</v>
      </c>
      <c r="DC8" s="138" t="s">
        <v>78</v>
      </c>
      <c r="DD8" s="138" t="s">
        <v>78</v>
      </c>
      <c r="DE8" s="138" t="s">
        <v>78</v>
      </c>
      <c r="DF8" s="138" t="s">
        <v>78</v>
      </c>
      <c r="DG8" s="138" t="s">
        <v>78</v>
      </c>
      <c r="DH8" s="69" t="s">
        <v>78</v>
      </c>
      <c r="DI8" s="98">
        <v>8.6999999999999994E-2</v>
      </c>
      <c r="DJ8" s="138" t="s">
        <v>78</v>
      </c>
      <c r="DK8" s="138" t="s">
        <v>78</v>
      </c>
      <c r="DL8" s="138" t="s">
        <v>78</v>
      </c>
      <c r="DM8" s="138" t="s">
        <v>78</v>
      </c>
      <c r="DN8" s="138" t="s">
        <v>78</v>
      </c>
      <c r="DO8" s="138" t="s">
        <v>78</v>
      </c>
      <c r="DP8" s="315" t="s">
        <v>78</v>
      </c>
      <c r="DQ8" s="45"/>
    </row>
    <row r="9" spans="2:141" ht="16.5" x14ac:dyDescent="0.35">
      <c r="B9" s="128"/>
      <c r="C9" s="34"/>
      <c r="D9" s="41">
        <v>31000124</v>
      </c>
      <c r="E9" s="141" t="s">
        <v>67</v>
      </c>
      <c r="F9" s="54" t="s">
        <v>147</v>
      </c>
      <c r="G9" s="165" t="s">
        <v>183</v>
      </c>
      <c r="H9" s="536" t="s">
        <v>78</v>
      </c>
      <c r="I9" s="69" t="s">
        <v>78</v>
      </c>
      <c r="J9" s="69" t="s">
        <v>78</v>
      </c>
      <c r="K9" s="138" t="s">
        <v>78</v>
      </c>
      <c r="L9" s="69" t="s">
        <v>78</v>
      </c>
      <c r="M9" s="138" t="s">
        <v>78</v>
      </c>
      <c r="N9" s="138" t="s">
        <v>78</v>
      </c>
      <c r="O9" s="138" t="s">
        <v>78</v>
      </c>
      <c r="P9" s="69" t="s">
        <v>78</v>
      </c>
      <c r="Q9" s="69" t="s">
        <v>78</v>
      </c>
      <c r="R9" s="138" t="s">
        <v>78</v>
      </c>
      <c r="S9" s="138" t="s">
        <v>78</v>
      </c>
      <c r="T9" s="17" t="s">
        <v>78</v>
      </c>
      <c r="U9" s="138" t="s">
        <v>78</v>
      </c>
      <c r="V9" s="69" t="s">
        <v>78</v>
      </c>
      <c r="W9" s="138" t="s">
        <v>78</v>
      </c>
      <c r="X9" s="69" t="s">
        <v>78</v>
      </c>
      <c r="Y9" s="138" t="s">
        <v>78</v>
      </c>
      <c r="Z9" s="138" t="s">
        <v>78</v>
      </c>
      <c r="AA9" s="138" t="s">
        <v>78</v>
      </c>
      <c r="AB9" s="138" t="s">
        <v>78</v>
      </c>
      <c r="AC9" s="77" t="s">
        <v>78</v>
      </c>
      <c r="AD9" s="151" t="s">
        <v>78</v>
      </c>
      <c r="AE9" s="69" t="s">
        <v>78</v>
      </c>
      <c r="AF9" s="138" t="s">
        <v>78</v>
      </c>
      <c r="AG9" s="69" t="s">
        <v>78</v>
      </c>
      <c r="AH9" s="138" t="s">
        <v>78</v>
      </c>
      <c r="AI9" s="138" t="s">
        <v>78</v>
      </c>
      <c r="AJ9" s="138" t="s">
        <v>78</v>
      </c>
      <c r="AK9" s="69" t="s">
        <v>78</v>
      </c>
      <c r="AL9" s="138" t="s">
        <v>78</v>
      </c>
      <c r="AM9" s="137">
        <v>1E-3</v>
      </c>
      <c r="AN9" s="138" t="s">
        <v>78</v>
      </c>
      <c r="AO9" s="138" t="s">
        <v>78</v>
      </c>
      <c r="AP9" s="69" t="s">
        <v>78</v>
      </c>
      <c r="AQ9" s="69" t="s">
        <v>78</v>
      </c>
      <c r="AR9" s="138" t="s">
        <v>78</v>
      </c>
      <c r="AS9" s="138" t="s">
        <v>78</v>
      </c>
      <c r="AT9" s="138" t="s">
        <v>78</v>
      </c>
      <c r="AU9" s="138" t="s">
        <v>78</v>
      </c>
      <c r="AV9" s="138" t="s">
        <v>78</v>
      </c>
      <c r="AW9" s="138" t="s">
        <v>78</v>
      </c>
      <c r="AX9" s="138" t="s">
        <v>78</v>
      </c>
      <c r="AY9" s="138" t="s">
        <v>78</v>
      </c>
      <c r="AZ9" s="69" t="s">
        <v>78</v>
      </c>
      <c r="BA9" s="138" t="s">
        <v>78</v>
      </c>
      <c r="BB9" s="138" t="s">
        <v>78</v>
      </c>
      <c r="BC9" s="69" t="s">
        <v>78</v>
      </c>
      <c r="BD9" s="69" t="s">
        <v>78</v>
      </c>
      <c r="BE9" s="138" t="s">
        <v>78</v>
      </c>
      <c r="BF9" s="138" t="s">
        <v>78</v>
      </c>
      <c r="BG9" s="138" t="s">
        <v>78</v>
      </c>
      <c r="BH9" s="138" t="s">
        <v>78</v>
      </c>
      <c r="BI9" s="138" t="s">
        <v>78</v>
      </c>
      <c r="BJ9" s="138" t="s">
        <v>78</v>
      </c>
      <c r="BK9" s="69" t="s">
        <v>78</v>
      </c>
      <c r="BL9" s="69" t="s">
        <v>78</v>
      </c>
      <c r="BM9" s="138" t="s">
        <v>78</v>
      </c>
      <c r="BN9" s="138" t="s">
        <v>78</v>
      </c>
      <c r="BO9" s="138" t="s">
        <v>78</v>
      </c>
      <c r="BP9" s="138" t="s">
        <v>78</v>
      </c>
      <c r="BQ9" s="138" t="s">
        <v>78</v>
      </c>
      <c r="BR9" s="138" t="s">
        <v>78</v>
      </c>
      <c r="BS9" s="138" t="s">
        <v>78</v>
      </c>
      <c r="BT9" s="138" t="s">
        <v>78</v>
      </c>
      <c r="BU9" s="138" t="s">
        <v>78</v>
      </c>
      <c r="BV9" s="138" t="s">
        <v>78</v>
      </c>
      <c r="BW9" s="138" t="s">
        <v>78</v>
      </c>
      <c r="BX9" s="137">
        <v>9.9000000000000005E-2</v>
      </c>
      <c r="BY9" s="138" t="s">
        <v>78</v>
      </c>
      <c r="BZ9" s="138" t="s">
        <v>78</v>
      </c>
      <c r="CA9" s="138" t="s">
        <v>467</v>
      </c>
      <c r="CB9" s="138" t="s">
        <v>78</v>
      </c>
      <c r="CC9" s="138" t="s">
        <v>78</v>
      </c>
      <c r="CD9" s="138" t="s">
        <v>78</v>
      </c>
      <c r="CE9" s="69" t="s">
        <v>78</v>
      </c>
      <c r="CF9" s="138" t="s">
        <v>78</v>
      </c>
      <c r="CG9" s="138" t="s">
        <v>78</v>
      </c>
      <c r="CH9" s="138" t="s">
        <v>78</v>
      </c>
      <c r="CI9" s="138" t="s">
        <v>78</v>
      </c>
      <c r="CJ9" s="69" t="s">
        <v>78</v>
      </c>
      <c r="CK9" s="138" t="s">
        <v>78</v>
      </c>
      <c r="CL9" s="138" t="s">
        <v>78</v>
      </c>
      <c r="CM9" s="138" t="s">
        <v>78</v>
      </c>
      <c r="CN9" s="138" t="s">
        <v>78</v>
      </c>
      <c r="CO9" s="138" t="s">
        <v>78</v>
      </c>
      <c r="CP9" s="138" t="s">
        <v>78</v>
      </c>
      <c r="CQ9" s="138" t="s">
        <v>78</v>
      </c>
      <c r="CR9" s="138" t="s">
        <v>78</v>
      </c>
      <c r="CS9" s="69" t="s">
        <v>78</v>
      </c>
      <c r="CT9" s="69" t="s">
        <v>78</v>
      </c>
      <c r="CU9" s="17" t="s">
        <v>78</v>
      </c>
      <c r="CV9" s="69" t="s">
        <v>78</v>
      </c>
      <c r="CW9" s="138" t="s">
        <v>78</v>
      </c>
      <c r="CX9" s="138" t="s">
        <v>78</v>
      </c>
      <c r="CY9" s="69" t="s">
        <v>78</v>
      </c>
      <c r="CZ9" s="69" t="s">
        <v>78</v>
      </c>
      <c r="DA9" s="138" t="s">
        <v>78</v>
      </c>
      <c r="DB9" s="138" t="s">
        <v>78</v>
      </c>
      <c r="DC9" s="138" t="s">
        <v>78</v>
      </c>
      <c r="DD9" s="138" t="s">
        <v>78</v>
      </c>
      <c r="DE9" s="138" t="s">
        <v>78</v>
      </c>
      <c r="DF9" s="138" t="s">
        <v>78</v>
      </c>
      <c r="DG9" s="138" t="s">
        <v>78</v>
      </c>
      <c r="DH9" s="69" t="s">
        <v>78</v>
      </c>
      <c r="DI9" s="98">
        <v>8.6999999999999994E-2</v>
      </c>
      <c r="DJ9" s="138" t="s">
        <v>78</v>
      </c>
      <c r="DK9" s="138" t="s">
        <v>78</v>
      </c>
      <c r="DL9" s="138" t="s">
        <v>78</v>
      </c>
      <c r="DM9" s="138" t="s">
        <v>78</v>
      </c>
      <c r="DN9" s="138" t="s">
        <v>78</v>
      </c>
      <c r="DO9" s="138" t="s">
        <v>78</v>
      </c>
      <c r="DP9" s="315" t="s">
        <v>78</v>
      </c>
      <c r="DQ9" s="45"/>
    </row>
    <row r="10" spans="2:141" ht="16.5" x14ac:dyDescent="0.35">
      <c r="B10" s="162"/>
      <c r="C10" s="292"/>
      <c r="D10" s="41">
        <v>31000127</v>
      </c>
      <c r="E10" s="141" t="s">
        <v>68</v>
      </c>
      <c r="F10" s="54" t="s">
        <v>147</v>
      </c>
      <c r="G10" s="165" t="s">
        <v>183</v>
      </c>
      <c r="H10" s="536" t="s">
        <v>78</v>
      </c>
      <c r="I10" s="69" t="s">
        <v>78</v>
      </c>
      <c r="J10" s="69" t="s">
        <v>78</v>
      </c>
      <c r="K10" s="138" t="s">
        <v>78</v>
      </c>
      <c r="L10" s="69" t="s">
        <v>78</v>
      </c>
      <c r="M10" s="138" t="s">
        <v>78</v>
      </c>
      <c r="N10" s="138" t="s">
        <v>78</v>
      </c>
      <c r="O10" s="138" t="s">
        <v>78</v>
      </c>
      <c r="P10" s="69" t="s">
        <v>78</v>
      </c>
      <c r="Q10" s="69" t="s">
        <v>78</v>
      </c>
      <c r="R10" s="138" t="s">
        <v>78</v>
      </c>
      <c r="S10" s="138" t="s">
        <v>78</v>
      </c>
      <c r="T10" s="17" t="s">
        <v>78</v>
      </c>
      <c r="U10" s="138" t="s">
        <v>78</v>
      </c>
      <c r="V10" s="69" t="s">
        <v>78</v>
      </c>
      <c r="W10" s="138" t="s">
        <v>78</v>
      </c>
      <c r="X10" s="69" t="s">
        <v>78</v>
      </c>
      <c r="Y10" s="138" t="s">
        <v>78</v>
      </c>
      <c r="Z10" s="138" t="s">
        <v>78</v>
      </c>
      <c r="AA10" s="138" t="s">
        <v>78</v>
      </c>
      <c r="AB10" s="138" t="s">
        <v>78</v>
      </c>
      <c r="AC10" s="77" t="s">
        <v>78</v>
      </c>
      <c r="AD10" s="151" t="s">
        <v>78</v>
      </c>
      <c r="AE10" s="69" t="s">
        <v>78</v>
      </c>
      <c r="AF10" s="138" t="s">
        <v>78</v>
      </c>
      <c r="AG10" s="69" t="s">
        <v>78</v>
      </c>
      <c r="AH10" s="138" t="s">
        <v>78</v>
      </c>
      <c r="AI10" s="138" t="s">
        <v>78</v>
      </c>
      <c r="AJ10" s="138" t="s">
        <v>78</v>
      </c>
      <c r="AK10" s="69" t="s">
        <v>78</v>
      </c>
      <c r="AL10" s="138" t="s">
        <v>78</v>
      </c>
      <c r="AM10" s="137">
        <v>1E-3</v>
      </c>
      <c r="AN10" s="138" t="s">
        <v>78</v>
      </c>
      <c r="AO10" s="138" t="s">
        <v>78</v>
      </c>
      <c r="AP10" s="69" t="s">
        <v>78</v>
      </c>
      <c r="AQ10" s="69" t="s">
        <v>78</v>
      </c>
      <c r="AR10" s="138" t="s">
        <v>78</v>
      </c>
      <c r="AS10" s="138" t="s">
        <v>78</v>
      </c>
      <c r="AT10" s="138" t="s">
        <v>78</v>
      </c>
      <c r="AU10" s="138" t="s">
        <v>78</v>
      </c>
      <c r="AV10" s="138" t="s">
        <v>78</v>
      </c>
      <c r="AW10" s="138" t="s">
        <v>78</v>
      </c>
      <c r="AX10" s="138" t="s">
        <v>78</v>
      </c>
      <c r="AY10" s="138" t="s">
        <v>78</v>
      </c>
      <c r="AZ10" s="69" t="s">
        <v>78</v>
      </c>
      <c r="BA10" s="138" t="s">
        <v>78</v>
      </c>
      <c r="BB10" s="138" t="s">
        <v>78</v>
      </c>
      <c r="BC10" s="69" t="s">
        <v>78</v>
      </c>
      <c r="BD10" s="69" t="s">
        <v>78</v>
      </c>
      <c r="BE10" s="138" t="s">
        <v>78</v>
      </c>
      <c r="BF10" s="138" t="s">
        <v>78</v>
      </c>
      <c r="BG10" s="138" t="s">
        <v>78</v>
      </c>
      <c r="BH10" s="138" t="s">
        <v>78</v>
      </c>
      <c r="BI10" s="138" t="s">
        <v>78</v>
      </c>
      <c r="BJ10" s="138" t="s">
        <v>78</v>
      </c>
      <c r="BK10" s="69" t="s">
        <v>78</v>
      </c>
      <c r="BL10" s="69" t="s">
        <v>78</v>
      </c>
      <c r="BM10" s="138" t="s">
        <v>78</v>
      </c>
      <c r="BN10" s="138" t="s">
        <v>78</v>
      </c>
      <c r="BO10" s="138" t="s">
        <v>78</v>
      </c>
      <c r="BP10" s="138" t="s">
        <v>78</v>
      </c>
      <c r="BQ10" s="138" t="s">
        <v>78</v>
      </c>
      <c r="BR10" s="138" t="s">
        <v>78</v>
      </c>
      <c r="BS10" s="138" t="s">
        <v>78</v>
      </c>
      <c r="BT10" s="138" t="s">
        <v>78</v>
      </c>
      <c r="BU10" s="138" t="s">
        <v>78</v>
      </c>
      <c r="BV10" s="138" t="s">
        <v>78</v>
      </c>
      <c r="BW10" s="138" t="s">
        <v>78</v>
      </c>
      <c r="BX10" s="137">
        <v>9.9000000000000005E-2</v>
      </c>
      <c r="BY10" s="138" t="s">
        <v>78</v>
      </c>
      <c r="BZ10" s="138" t="s">
        <v>78</v>
      </c>
      <c r="CA10" s="138" t="s">
        <v>467</v>
      </c>
      <c r="CB10" s="138" t="s">
        <v>78</v>
      </c>
      <c r="CC10" s="138" t="s">
        <v>78</v>
      </c>
      <c r="CD10" s="138" t="s">
        <v>78</v>
      </c>
      <c r="CE10" s="69" t="s">
        <v>78</v>
      </c>
      <c r="CF10" s="138" t="s">
        <v>78</v>
      </c>
      <c r="CG10" s="138" t="s">
        <v>78</v>
      </c>
      <c r="CH10" s="138" t="s">
        <v>78</v>
      </c>
      <c r="CI10" s="138" t="s">
        <v>78</v>
      </c>
      <c r="CJ10" s="69" t="s">
        <v>78</v>
      </c>
      <c r="CK10" s="138" t="s">
        <v>78</v>
      </c>
      <c r="CL10" s="138" t="s">
        <v>78</v>
      </c>
      <c r="CM10" s="138" t="s">
        <v>78</v>
      </c>
      <c r="CN10" s="138" t="s">
        <v>78</v>
      </c>
      <c r="CO10" s="138" t="s">
        <v>78</v>
      </c>
      <c r="CP10" s="138" t="s">
        <v>78</v>
      </c>
      <c r="CQ10" s="138" t="s">
        <v>78</v>
      </c>
      <c r="CR10" s="138" t="s">
        <v>78</v>
      </c>
      <c r="CS10" s="69" t="s">
        <v>78</v>
      </c>
      <c r="CT10" s="69" t="s">
        <v>78</v>
      </c>
      <c r="CU10" s="17" t="s">
        <v>78</v>
      </c>
      <c r="CV10" s="69" t="s">
        <v>78</v>
      </c>
      <c r="CW10" s="138" t="s">
        <v>78</v>
      </c>
      <c r="CX10" s="138" t="s">
        <v>78</v>
      </c>
      <c r="CY10" s="69" t="s">
        <v>78</v>
      </c>
      <c r="CZ10" s="69" t="s">
        <v>78</v>
      </c>
      <c r="DA10" s="138" t="s">
        <v>78</v>
      </c>
      <c r="DB10" s="138" t="s">
        <v>78</v>
      </c>
      <c r="DC10" s="138" t="s">
        <v>78</v>
      </c>
      <c r="DD10" s="138" t="s">
        <v>78</v>
      </c>
      <c r="DE10" s="138" t="s">
        <v>78</v>
      </c>
      <c r="DF10" s="138" t="s">
        <v>78</v>
      </c>
      <c r="DG10" s="138" t="s">
        <v>78</v>
      </c>
      <c r="DH10" s="69" t="s">
        <v>78</v>
      </c>
      <c r="DI10" s="98">
        <v>8.6999999999999994E-2</v>
      </c>
      <c r="DJ10" s="138" t="s">
        <v>78</v>
      </c>
      <c r="DK10" s="138" t="s">
        <v>78</v>
      </c>
      <c r="DL10" s="138" t="s">
        <v>78</v>
      </c>
      <c r="DM10" s="138" t="s">
        <v>78</v>
      </c>
      <c r="DN10" s="138" t="s">
        <v>78</v>
      </c>
      <c r="DO10" s="138" t="s">
        <v>78</v>
      </c>
      <c r="DP10" s="315" t="s">
        <v>78</v>
      </c>
      <c r="DQ10" s="45"/>
    </row>
    <row r="11" spans="2:141" ht="16.5" x14ac:dyDescent="0.35">
      <c r="B11" s="128"/>
      <c r="C11" s="34"/>
      <c r="D11" s="41">
        <v>30600813</v>
      </c>
      <c r="E11" s="141" t="s">
        <v>57</v>
      </c>
      <c r="F11" s="54" t="s">
        <v>147</v>
      </c>
      <c r="G11" s="165" t="s">
        <v>183</v>
      </c>
      <c r="H11" s="536" t="s">
        <v>78</v>
      </c>
      <c r="I11" s="69" t="s">
        <v>78</v>
      </c>
      <c r="J11" s="69" t="s">
        <v>78</v>
      </c>
      <c r="K11" s="138" t="s">
        <v>78</v>
      </c>
      <c r="L11" s="69" t="s">
        <v>78</v>
      </c>
      <c r="M11" s="138" t="s">
        <v>78</v>
      </c>
      <c r="N11" s="138" t="s">
        <v>78</v>
      </c>
      <c r="O11" s="138" t="s">
        <v>78</v>
      </c>
      <c r="P11" s="69" t="s">
        <v>78</v>
      </c>
      <c r="Q11" s="69" t="s">
        <v>78</v>
      </c>
      <c r="R11" s="138" t="s">
        <v>78</v>
      </c>
      <c r="S11" s="138" t="s">
        <v>78</v>
      </c>
      <c r="T11" s="17" t="s">
        <v>78</v>
      </c>
      <c r="U11" s="138" t="s">
        <v>78</v>
      </c>
      <c r="V11" s="69" t="s">
        <v>78</v>
      </c>
      <c r="W11" s="138" t="s">
        <v>78</v>
      </c>
      <c r="X11" s="69" t="s">
        <v>78</v>
      </c>
      <c r="Y11" s="138" t="s">
        <v>78</v>
      </c>
      <c r="Z11" s="138" t="s">
        <v>78</v>
      </c>
      <c r="AA11" s="138" t="s">
        <v>78</v>
      </c>
      <c r="AB11" s="138" t="s">
        <v>78</v>
      </c>
      <c r="AC11" s="77" t="s">
        <v>78</v>
      </c>
      <c r="AD11" s="151" t="s">
        <v>78</v>
      </c>
      <c r="AE11" s="69" t="s">
        <v>78</v>
      </c>
      <c r="AF11" s="138" t="s">
        <v>78</v>
      </c>
      <c r="AG11" s="69" t="s">
        <v>78</v>
      </c>
      <c r="AH11" s="138" t="s">
        <v>78</v>
      </c>
      <c r="AI11" s="138" t="s">
        <v>78</v>
      </c>
      <c r="AJ11" s="138" t="s">
        <v>78</v>
      </c>
      <c r="AK11" s="69" t="s">
        <v>78</v>
      </c>
      <c r="AL11" s="138" t="s">
        <v>78</v>
      </c>
      <c r="AM11" s="137">
        <v>1E-3</v>
      </c>
      <c r="AN11" s="138" t="s">
        <v>78</v>
      </c>
      <c r="AO11" s="138" t="s">
        <v>78</v>
      </c>
      <c r="AP11" s="69" t="s">
        <v>78</v>
      </c>
      <c r="AQ11" s="69" t="s">
        <v>78</v>
      </c>
      <c r="AR11" s="138" t="s">
        <v>78</v>
      </c>
      <c r="AS11" s="138" t="s">
        <v>78</v>
      </c>
      <c r="AT11" s="138" t="s">
        <v>78</v>
      </c>
      <c r="AU11" s="138" t="s">
        <v>78</v>
      </c>
      <c r="AV11" s="138" t="s">
        <v>78</v>
      </c>
      <c r="AW11" s="138" t="s">
        <v>78</v>
      </c>
      <c r="AX11" s="138" t="s">
        <v>78</v>
      </c>
      <c r="AY11" s="138" t="s">
        <v>78</v>
      </c>
      <c r="AZ11" s="69" t="s">
        <v>78</v>
      </c>
      <c r="BA11" s="138" t="s">
        <v>78</v>
      </c>
      <c r="BB11" s="138" t="s">
        <v>78</v>
      </c>
      <c r="BC11" s="69" t="s">
        <v>78</v>
      </c>
      <c r="BD11" s="69" t="s">
        <v>78</v>
      </c>
      <c r="BE11" s="138" t="s">
        <v>78</v>
      </c>
      <c r="BF11" s="138" t="s">
        <v>78</v>
      </c>
      <c r="BG11" s="138" t="s">
        <v>78</v>
      </c>
      <c r="BH11" s="138" t="s">
        <v>78</v>
      </c>
      <c r="BI11" s="138" t="s">
        <v>78</v>
      </c>
      <c r="BJ11" s="138" t="s">
        <v>78</v>
      </c>
      <c r="BK11" s="69" t="s">
        <v>78</v>
      </c>
      <c r="BL11" s="69" t="s">
        <v>78</v>
      </c>
      <c r="BM11" s="138" t="s">
        <v>78</v>
      </c>
      <c r="BN11" s="138" t="s">
        <v>78</v>
      </c>
      <c r="BO11" s="138" t="s">
        <v>78</v>
      </c>
      <c r="BP11" s="138" t="s">
        <v>78</v>
      </c>
      <c r="BQ11" s="138" t="s">
        <v>78</v>
      </c>
      <c r="BR11" s="138" t="s">
        <v>78</v>
      </c>
      <c r="BS11" s="138" t="s">
        <v>78</v>
      </c>
      <c r="BT11" s="138" t="s">
        <v>78</v>
      </c>
      <c r="BU11" s="138" t="s">
        <v>78</v>
      </c>
      <c r="BV11" s="138" t="s">
        <v>78</v>
      </c>
      <c r="BW11" s="138" t="s">
        <v>78</v>
      </c>
      <c r="BX11" s="137">
        <v>9.9000000000000005E-2</v>
      </c>
      <c r="BY11" s="138" t="s">
        <v>78</v>
      </c>
      <c r="BZ11" s="138" t="s">
        <v>78</v>
      </c>
      <c r="CA11" s="138" t="s">
        <v>467</v>
      </c>
      <c r="CB11" s="138" t="s">
        <v>78</v>
      </c>
      <c r="CC11" s="138" t="s">
        <v>78</v>
      </c>
      <c r="CD11" s="138" t="s">
        <v>78</v>
      </c>
      <c r="CE11" s="69" t="s">
        <v>78</v>
      </c>
      <c r="CF11" s="138" t="s">
        <v>78</v>
      </c>
      <c r="CG11" s="138" t="s">
        <v>78</v>
      </c>
      <c r="CH11" s="138" t="s">
        <v>78</v>
      </c>
      <c r="CI11" s="138" t="s">
        <v>78</v>
      </c>
      <c r="CJ11" s="69" t="s">
        <v>78</v>
      </c>
      <c r="CK11" s="138" t="s">
        <v>78</v>
      </c>
      <c r="CL11" s="138" t="s">
        <v>78</v>
      </c>
      <c r="CM11" s="138" t="s">
        <v>78</v>
      </c>
      <c r="CN11" s="138" t="s">
        <v>78</v>
      </c>
      <c r="CO11" s="138" t="s">
        <v>78</v>
      </c>
      <c r="CP11" s="138" t="s">
        <v>78</v>
      </c>
      <c r="CQ11" s="138" t="s">
        <v>78</v>
      </c>
      <c r="CR11" s="138" t="s">
        <v>78</v>
      </c>
      <c r="CS11" s="69" t="s">
        <v>78</v>
      </c>
      <c r="CT11" s="69" t="s">
        <v>78</v>
      </c>
      <c r="CU11" s="17" t="s">
        <v>78</v>
      </c>
      <c r="CV11" s="69" t="s">
        <v>78</v>
      </c>
      <c r="CW11" s="138" t="s">
        <v>78</v>
      </c>
      <c r="CX11" s="138" t="s">
        <v>78</v>
      </c>
      <c r="CY11" s="69" t="s">
        <v>78</v>
      </c>
      <c r="CZ11" s="69" t="s">
        <v>78</v>
      </c>
      <c r="DA11" s="138" t="s">
        <v>78</v>
      </c>
      <c r="DB11" s="138" t="s">
        <v>78</v>
      </c>
      <c r="DC11" s="138" t="s">
        <v>78</v>
      </c>
      <c r="DD11" s="138" t="s">
        <v>78</v>
      </c>
      <c r="DE11" s="138" t="s">
        <v>78</v>
      </c>
      <c r="DF11" s="138" t="s">
        <v>78</v>
      </c>
      <c r="DG11" s="138" t="s">
        <v>78</v>
      </c>
      <c r="DH11" s="69" t="s">
        <v>78</v>
      </c>
      <c r="DI11" s="98">
        <v>8.6999999999999994E-2</v>
      </c>
      <c r="DJ11" s="138" t="s">
        <v>78</v>
      </c>
      <c r="DK11" s="138" t="s">
        <v>78</v>
      </c>
      <c r="DL11" s="138" t="s">
        <v>78</v>
      </c>
      <c r="DM11" s="138" t="s">
        <v>78</v>
      </c>
      <c r="DN11" s="138" t="s">
        <v>78</v>
      </c>
      <c r="DO11" s="138" t="s">
        <v>78</v>
      </c>
      <c r="DP11" s="315" t="s">
        <v>78</v>
      </c>
      <c r="DQ11" s="45"/>
    </row>
    <row r="12" spans="2:141" ht="16.5" x14ac:dyDescent="0.35">
      <c r="B12" s="128"/>
      <c r="C12" s="34"/>
      <c r="D12" s="41">
        <v>30600816</v>
      </c>
      <c r="E12" s="141" t="s">
        <v>58</v>
      </c>
      <c r="F12" s="54" t="s">
        <v>147</v>
      </c>
      <c r="G12" s="165" t="s">
        <v>183</v>
      </c>
      <c r="H12" s="536" t="s">
        <v>78</v>
      </c>
      <c r="I12" s="69" t="s">
        <v>78</v>
      </c>
      <c r="J12" s="69" t="s">
        <v>78</v>
      </c>
      <c r="K12" s="138" t="s">
        <v>78</v>
      </c>
      <c r="L12" s="69" t="s">
        <v>78</v>
      </c>
      <c r="M12" s="138" t="s">
        <v>78</v>
      </c>
      <c r="N12" s="138" t="s">
        <v>78</v>
      </c>
      <c r="O12" s="138" t="s">
        <v>78</v>
      </c>
      <c r="P12" s="69" t="s">
        <v>78</v>
      </c>
      <c r="Q12" s="69" t="s">
        <v>78</v>
      </c>
      <c r="R12" s="138" t="s">
        <v>78</v>
      </c>
      <c r="S12" s="138" t="s">
        <v>78</v>
      </c>
      <c r="T12" s="17" t="s">
        <v>78</v>
      </c>
      <c r="U12" s="138" t="s">
        <v>78</v>
      </c>
      <c r="V12" s="69" t="s">
        <v>78</v>
      </c>
      <c r="W12" s="138" t="s">
        <v>78</v>
      </c>
      <c r="X12" s="69" t="s">
        <v>78</v>
      </c>
      <c r="Y12" s="138" t="s">
        <v>78</v>
      </c>
      <c r="Z12" s="138" t="s">
        <v>78</v>
      </c>
      <c r="AA12" s="138" t="s">
        <v>78</v>
      </c>
      <c r="AB12" s="138" t="s">
        <v>78</v>
      </c>
      <c r="AC12" s="77" t="s">
        <v>78</v>
      </c>
      <c r="AD12" s="151" t="s">
        <v>78</v>
      </c>
      <c r="AE12" s="69" t="s">
        <v>78</v>
      </c>
      <c r="AF12" s="138" t="s">
        <v>78</v>
      </c>
      <c r="AG12" s="69" t="s">
        <v>78</v>
      </c>
      <c r="AH12" s="138" t="s">
        <v>78</v>
      </c>
      <c r="AI12" s="138" t="s">
        <v>78</v>
      </c>
      <c r="AJ12" s="138" t="s">
        <v>78</v>
      </c>
      <c r="AK12" s="69" t="s">
        <v>78</v>
      </c>
      <c r="AL12" s="138" t="s">
        <v>78</v>
      </c>
      <c r="AM12" s="137">
        <v>1E-3</v>
      </c>
      <c r="AN12" s="138" t="s">
        <v>78</v>
      </c>
      <c r="AO12" s="138" t="s">
        <v>78</v>
      </c>
      <c r="AP12" s="69" t="s">
        <v>78</v>
      </c>
      <c r="AQ12" s="69" t="s">
        <v>78</v>
      </c>
      <c r="AR12" s="138" t="s">
        <v>78</v>
      </c>
      <c r="AS12" s="138" t="s">
        <v>78</v>
      </c>
      <c r="AT12" s="138" t="s">
        <v>78</v>
      </c>
      <c r="AU12" s="138" t="s">
        <v>78</v>
      </c>
      <c r="AV12" s="138" t="s">
        <v>78</v>
      </c>
      <c r="AW12" s="138" t="s">
        <v>78</v>
      </c>
      <c r="AX12" s="138" t="s">
        <v>78</v>
      </c>
      <c r="AY12" s="138" t="s">
        <v>78</v>
      </c>
      <c r="AZ12" s="69" t="s">
        <v>78</v>
      </c>
      <c r="BA12" s="138" t="s">
        <v>78</v>
      </c>
      <c r="BB12" s="138" t="s">
        <v>78</v>
      </c>
      <c r="BC12" s="69" t="s">
        <v>78</v>
      </c>
      <c r="BD12" s="69" t="s">
        <v>78</v>
      </c>
      <c r="BE12" s="138" t="s">
        <v>78</v>
      </c>
      <c r="BF12" s="138" t="s">
        <v>78</v>
      </c>
      <c r="BG12" s="138" t="s">
        <v>78</v>
      </c>
      <c r="BH12" s="138" t="s">
        <v>78</v>
      </c>
      <c r="BI12" s="138" t="s">
        <v>78</v>
      </c>
      <c r="BJ12" s="138" t="s">
        <v>78</v>
      </c>
      <c r="BK12" s="69" t="s">
        <v>78</v>
      </c>
      <c r="BL12" s="69" t="s">
        <v>78</v>
      </c>
      <c r="BM12" s="138" t="s">
        <v>78</v>
      </c>
      <c r="BN12" s="138" t="s">
        <v>78</v>
      </c>
      <c r="BO12" s="138" t="s">
        <v>78</v>
      </c>
      <c r="BP12" s="138" t="s">
        <v>78</v>
      </c>
      <c r="BQ12" s="138" t="s">
        <v>78</v>
      </c>
      <c r="BR12" s="138" t="s">
        <v>78</v>
      </c>
      <c r="BS12" s="138" t="s">
        <v>78</v>
      </c>
      <c r="BT12" s="138" t="s">
        <v>78</v>
      </c>
      <c r="BU12" s="138" t="s">
        <v>78</v>
      </c>
      <c r="BV12" s="138" t="s">
        <v>78</v>
      </c>
      <c r="BW12" s="138" t="s">
        <v>78</v>
      </c>
      <c r="BX12" s="137">
        <v>9.9000000000000005E-2</v>
      </c>
      <c r="BY12" s="138" t="s">
        <v>78</v>
      </c>
      <c r="BZ12" s="138" t="s">
        <v>78</v>
      </c>
      <c r="CA12" s="138" t="s">
        <v>467</v>
      </c>
      <c r="CB12" s="138" t="s">
        <v>78</v>
      </c>
      <c r="CC12" s="138" t="s">
        <v>78</v>
      </c>
      <c r="CD12" s="138" t="s">
        <v>78</v>
      </c>
      <c r="CE12" s="69" t="s">
        <v>78</v>
      </c>
      <c r="CF12" s="138" t="s">
        <v>78</v>
      </c>
      <c r="CG12" s="138" t="s">
        <v>78</v>
      </c>
      <c r="CH12" s="138" t="s">
        <v>78</v>
      </c>
      <c r="CI12" s="138" t="s">
        <v>78</v>
      </c>
      <c r="CJ12" s="69" t="s">
        <v>78</v>
      </c>
      <c r="CK12" s="138" t="s">
        <v>78</v>
      </c>
      <c r="CL12" s="138" t="s">
        <v>78</v>
      </c>
      <c r="CM12" s="138" t="s">
        <v>78</v>
      </c>
      <c r="CN12" s="138" t="s">
        <v>78</v>
      </c>
      <c r="CO12" s="138" t="s">
        <v>78</v>
      </c>
      <c r="CP12" s="138" t="s">
        <v>78</v>
      </c>
      <c r="CQ12" s="138" t="s">
        <v>78</v>
      </c>
      <c r="CR12" s="138" t="s">
        <v>78</v>
      </c>
      <c r="CS12" s="69" t="s">
        <v>78</v>
      </c>
      <c r="CT12" s="69" t="s">
        <v>78</v>
      </c>
      <c r="CU12" s="17" t="s">
        <v>78</v>
      </c>
      <c r="CV12" s="69" t="s">
        <v>78</v>
      </c>
      <c r="CW12" s="138" t="s">
        <v>78</v>
      </c>
      <c r="CX12" s="138" t="s">
        <v>78</v>
      </c>
      <c r="CY12" s="69" t="s">
        <v>78</v>
      </c>
      <c r="CZ12" s="69" t="s">
        <v>78</v>
      </c>
      <c r="DA12" s="138" t="s">
        <v>78</v>
      </c>
      <c r="DB12" s="138" t="s">
        <v>78</v>
      </c>
      <c r="DC12" s="138" t="s">
        <v>78</v>
      </c>
      <c r="DD12" s="138" t="s">
        <v>78</v>
      </c>
      <c r="DE12" s="138" t="s">
        <v>78</v>
      </c>
      <c r="DF12" s="138" t="s">
        <v>78</v>
      </c>
      <c r="DG12" s="138" t="s">
        <v>78</v>
      </c>
      <c r="DH12" s="69" t="s">
        <v>78</v>
      </c>
      <c r="DI12" s="98">
        <v>8.6999999999999994E-2</v>
      </c>
      <c r="DJ12" s="138" t="s">
        <v>78</v>
      </c>
      <c r="DK12" s="138" t="s">
        <v>78</v>
      </c>
      <c r="DL12" s="138" t="s">
        <v>78</v>
      </c>
      <c r="DM12" s="138" t="s">
        <v>78</v>
      </c>
      <c r="DN12" s="138" t="s">
        <v>78</v>
      </c>
      <c r="DO12" s="138" t="s">
        <v>78</v>
      </c>
      <c r="DP12" s="315" t="s">
        <v>78</v>
      </c>
      <c r="DQ12" s="45"/>
    </row>
    <row r="13" spans="2:141" ht="16.5" x14ac:dyDescent="0.35">
      <c r="B13" s="128"/>
      <c r="C13" s="34"/>
      <c r="D13" s="32">
        <v>31000299</v>
      </c>
      <c r="E13" s="161" t="s">
        <v>80</v>
      </c>
      <c r="F13" s="54" t="s">
        <v>134</v>
      </c>
      <c r="G13" s="165" t="s">
        <v>183</v>
      </c>
      <c r="H13" s="536" t="s">
        <v>78</v>
      </c>
      <c r="I13" s="69" t="s">
        <v>78</v>
      </c>
      <c r="J13" s="69" t="s">
        <v>78</v>
      </c>
      <c r="K13" s="138" t="s">
        <v>78</v>
      </c>
      <c r="L13" s="69" t="s">
        <v>78</v>
      </c>
      <c r="M13" s="138" t="s">
        <v>78</v>
      </c>
      <c r="N13" s="138" t="s">
        <v>78</v>
      </c>
      <c r="O13" s="138" t="s">
        <v>78</v>
      </c>
      <c r="P13" s="69" t="s">
        <v>78</v>
      </c>
      <c r="Q13" s="69" t="s">
        <v>78</v>
      </c>
      <c r="R13" s="138" t="s">
        <v>78</v>
      </c>
      <c r="S13" s="138" t="s">
        <v>78</v>
      </c>
      <c r="T13" s="17" t="s">
        <v>78</v>
      </c>
      <c r="U13" s="138" t="s">
        <v>78</v>
      </c>
      <c r="V13" s="69" t="s">
        <v>78</v>
      </c>
      <c r="W13" s="138" t="s">
        <v>78</v>
      </c>
      <c r="X13" s="69" t="s">
        <v>78</v>
      </c>
      <c r="Y13" s="138" t="s">
        <v>78</v>
      </c>
      <c r="Z13" s="138" t="s">
        <v>78</v>
      </c>
      <c r="AA13" s="138" t="s">
        <v>78</v>
      </c>
      <c r="AB13" s="138" t="s">
        <v>78</v>
      </c>
      <c r="AC13" s="77" t="s">
        <v>78</v>
      </c>
      <c r="AD13" s="151" t="s">
        <v>78</v>
      </c>
      <c r="AE13" s="69" t="s">
        <v>78</v>
      </c>
      <c r="AF13" s="138" t="s">
        <v>78</v>
      </c>
      <c r="AG13" s="69" t="s">
        <v>78</v>
      </c>
      <c r="AH13" s="138" t="s">
        <v>78</v>
      </c>
      <c r="AI13" s="138" t="s">
        <v>78</v>
      </c>
      <c r="AJ13" s="138" t="s">
        <v>78</v>
      </c>
      <c r="AK13" s="69" t="s">
        <v>78</v>
      </c>
      <c r="AL13" s="138" t="s">
        <v>78</v>
      </c>
      <c r="AM13" s="137">
        <v>1E-3</v>
      </c>
      <c r="AN13" s="138" t="s">
        <v>78</v>
      </c>
      <c r="AO13" s="138" t="s">
        <v>78</v>
      </c>
      <c r="AP13" s="69" t="s">
        <v>78</v>
      </c>
      <c r="AQ13" s="69" t="s">
        <v>78</v>
      </c>
      <c r="AR13" s="138" t="s">
        <v>78</v>
      </c>
      <c r="AS13" s="138" t="s">
        <v>78</v>
      </c>
      <c r="AT13" s="138" t="s">
        <v>78</v>
      </c>
      <c r="AU13" s="138" t="s">
        <v>78</v>
      </c>
      <c r="AV13" s="138" t="s">
        <v>78</v>
      </c>
      <c r="AW13" s="138" t="s">
        <v>78</v>
      </c>
      <c r="AX13" s="138" t="s">
        <v>78</v>
      </c>
      <c r="AY13" s="138" t="s">
        <v>78</v>
      </c>
      <c r="AZ13" s="69" t="s">
        <v>78</v>
      </c>
      <c r="BA13" s="138" t="s">
        <v>78</v>
      </c>
      <c r="BB13" s="138" t="s">
        <v>78</v>
      </c>
      <c r="BC13" s="69" t="s">
        <v>78</v>
      </c>
      <c r="BD13" s="69" t="s">
        <v>78</v>
      </c>
      <c r="BE13" s="138" t="s">
        <v>78</v>
      </c>
      <c r="BF13" s="138" t="s">
        <v>78</v>
      </c>
      <c r="BG13" s="138" t="s">
        <v>78</v>
      </c>
      <c r="BH13" s="138" t="s">
        <v>78</v>
      </c>
      <c r="BI13" s="138" t="s">
        <v>78</v>
      </c>
      <c r="BJ13" s="138" t="s">
        <v>78</v>
      </c>
      <c r="BK13" s="69" t="s">
        <v>78</v>
      </c>
      <c r="BL13" s="69" t="s">
        <v>78</v>
      </c>
      <c r="BM13" s="138" t="s">
        <v>78</v>
      </c>
      <c r="BN13" s="138" t="s">
        <v>78</v>
      </c>
      <c r="BO13" s="138" t="s">
        <v>78</v>
      </c>
      <c r="BP13" s="138" t="s">
        <v>78</v>
      </c>
      <c r="BQ13" s="138" t="s">
        <v>78</v>
      </c>
      <c r="BR13" s="138" t="s">
        <v>78</v>
      </c>
      <c r="BS13" s="138" t="s">
        <v>78</v>
      </c>
      <c r="BT13" s="138" t="s">
        <v>78</v>
      </c>
      <c r="BU13" s="138" t="s">
        <v>78</v>
      </c>
      <c r="BV13" s="138" t="s">
        <v>78</v>
      </c>
      <c r="BW13" s="138" t="s">
        <v>78</v>
      </c>
      <c r="BX13" s="137">
        <v>5.1999999999999998E-2</v>
      </c>
      <c r="BY13" s="138" t="s">
        <v>78</v>
      </c>
      <c r="BZ13" s="138" t="s">
        <v>78</v>
      </c>
      <c r="CA13" s="138" t="s">
        <v>467</v>
      </c>
      <c r="CB13" s="138" t="s">
        <v>78</v>
      </c>
      <c r="CC13" s="138" t="s">
        <v>78</v>
      </c>
      <c r="CD13" s="138" t="s">
        <v>78</v>
      </c>
      <c r="CE13" s="69" t="s">
        <v>78</v>
      </c>
      <c r="CF13" s="138" t="s">
        <v>78</v>
      </c>
      <c r="CG13" s="138" t="s">
        <v>78</v>
      </c>
      <c r="CH13" s="138" t="s">
        <v>78</v>
      </c>
      <c r="CI13" s="138" t="s">
        <v>78</v>
      </c>
      <c r="CJ13" s="69" t="s">
        <v>78</v>
      </c>
      <c r="CK13" s="138" t="s">
        <v>78</v>
      </c>
      <c r="CL13" s="138" t="s">
        <v>78</v>
      </c>
      <c r="CM13" s="138" t="s">
        <v>78</v>
      </c>
      <c r="CN13" s="138" t="s">
        <v>78</v>
      </c>
      <c r="CO13" s="138" t="s">
        <v>78</v>
      </c>
      <c r="CP13" s="138" t="s">
        <v>78</v>
      </c>
      <c r="CQ13" s="138" t="s">
        <v>78</v>
      </c>
      <c r="CR13" s="138" t="s">
        <v>78</v>
      </c>
      <c r="CS13" s="69" t="s">
        <v>78</v>
      </c>
      <c r="CT13" s="69" t="s">
        <v>78</v>
      </c>
      <c r="CU13" s="17" t="s">
        <v>78</v>
      </c>
      <c r="CV13" s="69" t="s">
        <v>78</v>
      </c>
      <c r="CW13" s="138" t="s">
        <v>78</v>
      </c>
      <c r="CX13" s="138" t="s">
        <v>78</v>
      </c>
      <c r="CY13" s="69" t="s">
        <v>78</v>
      </c>
      <c r="CZ13" s="69" t="s">
        <v>78</v>
      </c>
      <c r="DA13" s="138" t="s">
        <v>78</v>
      </c>
      <c r="DB13" s="138" t="s">
        <v>78</v>
      </c>
      <c r="DC13" s="138" t="s">
        <v>78</v>
      </c>
      <c r="DD13" s="138" t="s">
        <v>78</v>
      </c>
      <c r="DE13" s="138" t="s">
        <v>78</v>
      </c>
      <c r="DF13" s="138" t="s">
        <v>78</v>
      </c>
      <c r="DG13" s="138" t="s">
        <v>78</v>
      </c>
      <c r="DH13" s="69" t="s">
        <v>78</v>
      </c>
      <c r="DI13" s="98">
        <v>4.5999999999999999E-2</v>
      </c>
      <c r="DJ13" s="138" t="s">
        <v>78</v>
      </c>
      <c r="DK13" s="138" t="s">
        <v>78</v>
      </c>
      <c r="DL13" s="138" t="s">
        <v>78</v>
      </c>
      <c r="DM13" s="138" t="s">
        <v>78</v>
      </c>
      <c r="DN13" s="138" t="s">
        <v>78</v>
      </c>
      <c r="DO13" s="138" t="s">
        <v>78</v>
      </c>
      <c r="DP13" s="315" t="s">
        <v>78</v>
      </c>
      <c r="DQ13" s="45"/>
    </row>
    <row r="14" spans="2:141" ht="16.5" x14ac:dyDescent="0.35">
      <c r="B14" s="128"/>
      <c r="C14" s="34"/>
      <c r="D14" s="41">
        <v>30600811</v>
      </c>
      <c r="E14" s="141" t="s">
        <v>55</v>
      </c>
      <c r="F14" s="54" t="s">
        <v>134</v>
      </c>
      <c r="G14" s="165" t="s">
        <v>183</v>
      </c>
      <c r="H14" s="536" t="s">
        <v>78</v>
      </c>
      <c r="I14" s="69" t="s">
        <v>78</v>
      </c>
      <c r="J14" s="69" t="s">
        <v>78</v>
      </c>
      <c r="K14" s="138" t="s">
        <v>78</v>
      </c>
      <c r="L14" s="69" t="s">
        <v>78</v>
      </c>
      <c r="M14" s="138" t="s">
        <v>78</v>
      </c>
      <c r="N14" s="138" t="s">
        <v>78</v>
      </c>
      <c r="O14" s="138" t="s">
        <v>78</v>
      </c>
      <c r="P14" s="69" t="s">
        <v>78</v>
      </c>
      <c r="Q14" s="69" t="s">
        <v>78</v>
      </c>
      <c r="R14" s="138" t="s">
        <v>78</v>
      </c>
      <c r="S14" s="138" t="s">
        <v>78</v>
      </c>
      <c r="T14" s="17" t="s">
        <v>78</v>
      </c>
      <c r="U14" s="138" t="s">
        <v>78</v>
      </c>
      <c r="V14" s="69" t="s">
        <v>78</v>
      </c>
      <c r="W14" s="138" t="s">
        <v>78</v>
      </c>
      <c r="X14" s="69" t="s">
        <v>78</v>
      </c>
      <c r="Y14" s="138" t="s">
        <v>78</v>
      </c>
      <c r="Z14" s="138" t="s">
        <v>78</v>
      </c>
      <c r="AA14" s="138" t="s">
        <v>78</v>
      </c>
      <c r="AB14" s="138" t="s">
        <v>78</v>
      </c>
      <c r="AC14" s="77" t="s">
        <v>78</v>
      </c>
      <c r="AD14" s="151" t="s">
        <v>78</v>
      </c>
      <c r="AE14" s="69" t="s">
        <v>78</v>
      </c>
      <c r="AF14" s="138" t="s">
        <v>78</v>
      </c>
      <c r="AG14" s="69" t="s">
        <v>78</v>
      </c>
      <c r="AH14" s="138" t="s">
        <v>78</v>
      </c>
      <c r="AI14" s="138" t="s">
        <v>78</v>
      </c>
      <c r="AJ14" s="138" t="s">
        <v>78</v>
      </c>
      <c r="AK14" s="69" t="s">
        <v>78</v>
      </c>
      <c r="AL14" s="138" t="s">
        <v>78</v>
      </c>
      <c r="AM14" s="137">
        <v>1E-3</v>
      </c>
      <c r="AN14" s="138" t="s">
        <v>78</v>
      </c>
      <c r="AO14" s="138" t="s">
        <v>78</v>
      </c>
      <c r="AP14" s="69" t="s">
        <v>78</v>
      </c>
      <c r="AQ14" s="69" t="s">
        <v>78</v>
      </c>
      <c r="AR14" s="138" t="s">
        <v>78</v>
      </c>
      <c r="AS14" s="138" t="s">
        <v>78</v>
      </c>
      <c r="AT14" s="138" t="s">
        <v>78</v>
      </c>
      <c r="AU14" s="138" t="s">
        <v>78</v>
      </c>
      <c r="AV14" s="138" t="s">
        <v>78</v>
      </c>
      <c r="AW14" s="138" t="s">
        <v>78</v>
      </c>
      <c r="AX14" s="138" t="s">
        <v>78</v>
      </c>
      <c r="AY14" s="138" t="s">
        <v>78</v>
      </c>
      <c r="AZ14" s="69" t="s">
        <v>78</v>
      </c>
      <c r="BA14" s="138" t="s">
        <v>78</v>
      </c>
      <c r="BB14" s="138" t="s">
        <v>78</v>
      </c>
      <c r="BC14" s="69" t="s">
        <v>78</v>
      </c>
      <c r="BD14" s="69" t="s">
        <v>78</v>
      </c>
      <c r="BE14" s="138" t="s">
        <v>78</v>
      </c>
      <c r="BF14" s="138" t="s">
        <v>78</v>
      </c>
      <c r="BG14" s="138" t="s">
        <v>78</v>
      </c>
      <c r="BH14" s="138" t="s">
        <v>78</v>
      </c>
      <c r="BI14" s="138" t="s">
        <v>78</v>
      </c>
      <c r="BJ14" s="138" t="s">
        <v>78</v>
      </c>
      <c r="BK14" s="69" t="s">
        <v>78</v>
      </c>
      <c r="BL14" s="69" t="s">
        <v>78</v>
      </c>
      <c r="BM14" s="138" t="s">
        <v>78</v>
      </c>
      <c r="BN14" s="138" t="s">
        <v>78</v>
      </c>
      <c r="BO14" s="138" t="s">
        <v>78</v>
      </c>
      <c r="BP14" s="138" t="s">
        <v>78</v>
      </c>
      <c r="BQ14" s="138" t="s">
        <v>78</v>
      </c>
      <c r="BR14" s="138" t="s">
        <v>78</v>
      </c>
      <c r="BS14" s="138" t="s">
        <v>78</v>
      </c>
      <c r="BT14" s="138" t="s">
        <v>78</v>
      </c>
      <c r="BU14" s="138" t="s">
        <v>78</v>
      </c>
      <c r="BV14" s="138" t="s">
        <v>78</v>
      </c>
      <c r="BW14" s="138" t="s">
        <v>78</v>
      </c>
      <c r="BX14" s="137">
        <v>5.1999999999999998E-2</v>
      </c>
      <c r="BY14" s="138" t="s">
        <v>78</v>
      </c>
      <c r="BZ14" s="138" t="s">
        <v>78</v>
      </c>
      <c r="CA14" s="138" t="s">
        <v>467</v>
      </c>
      <c r="CB14" s="138" t="s">
        <v>78</v>
      </c>
      <c r="CC14" s="138" t="s">
        <v>78</v>
      </c>
      <c r="CD14" s="138" t="s">
        <v>78</v>
      </c>
      <c r="CE14" s="69" t="s">
        <v>78</v>
      </c>
      <c r="CF14" s="138" t="s">
        <v>78</v>
      </c>
      <c r="CG14" s="138" t="s">
        <v>78</v>
      </c>
      <c r="CH14" s="138" t="s">
        <v>78</v>
      </c>
      <c r="CI14" s="138" t="s">
        <v>78</v>
      </c>
      <c r="CJ14" s="69" t="s">
        <v>78</v>
      </c>
      <c r="CK14" s="138" t="s">
        <v>78</v>
      </c>
      <c r="CL14" s="138" t="s">
        <v>78</v>
      </c>
      <c r="CM14" s="138" t="s">
        <v>78</v>
      </c>
      <c r="CN14" s="138" t="s">
        <v>78</v>
      </c>
      <c r="CO14" s="138" t="s">
        <v>78</v>
      </c>
      <c r="CP14" s="138" t="s">
        <v>78</v>
      </c>
      <c r="CQ14" s="138" t="s">
        <v>78</v>
      </c>
      <c r="CR14" s="138" t="s">
        <v>78</v>
      </c>
      <c r="CS14" s="69" t="s">
        <v>78</v>
      </c>
      <c r="CT14" s="69" t="s">
        <v>78</v>
      </c>
      <c r="CU14" s="17" t="s">
        <v>78</v>
      </c>
      <c r="CV14" s="69" t="s">
        <v>78</v>
      </c>
      <c r="CW14" s="138" t="s">
        <v>78</v>
      </c>
      <c r="CX14" s="138" t="s">
        <v>78</v>
      </c>
      <c r="CY14" s="69" t="s">
        <v>78</v>
      </c>
      <c r="CZ14" s="69" t="s">
        <v>78</v>
      </c>
      <c r="DA14" s="138" t="s">
        <v>78</v>
      </c>
      <c r="DB14" s="138" t="s">
        <v>78</v>
      </c>
      <c r="DC14" s="138" t="s">
        <v>78</v>
      </c>
      <c r="DD14" s="138" t="s">
        <v>78</v>
      </c>
      <c r="DE14" s="138" t="s">
        <v>78</v>
      </c>
      <c r="DF14" s="138" t="s">
        <v>78</v>
      </c>
      <c r="DG14" s="138" t="s">
        <v>78</v>
      </c>
      <c r="DH14" s="69" t="s">
        <v>78</v>
      </c>
      <c r="DI14" s="98">
        <v>4.5999999999999999E-2</v>
      </c>
      <c r="DJ14" s="138" t="s">
        <v>78</v>
      </c>
      <c r="DK14" s="138" t="s">
        <v>78</v>
      </c>
      <c r="DL14" s="138" t="s">
        <v>78</v>
      </c>
      <c r="DM14" s="138" t="s">
        <v>78</v>
      </c>
      <c r="DN14" s="138" t="s">
        <v>78</v>
      </c>
      <c r="DO14" s="138" t="s">
        <v>78</v>
      </c>
      <c r="DP14" s="315" t="s">
        <v>78</v>
      </c>
      <c r="DQ14" s="45"/>
    </row>
    <row r="15" spans="2:141" ht="16.5" x14ac:dyDescent="0.35">
      <c r="B15" s="128"/>
      <c r="C15" s="34"/>
      <c r="D15" s="41">
        <v>30600812</v>
      </c>
      <c r="E15" s="141" t="s">
        <v>56</v>
      </c>
      <c r="F15" s="54" t="s">
        <v>134</v>
      </c>
      <c r="G15" s="165" t="s">
        <v>183</v>
      </c>
      <c r="H15" s="536" t="s">
        <v>78</v>
      </c>
      <c r="I15" s="69" t="s">
        <v>78</v>
      </c>
      <c r="J15" s="69" t="s">
        <v>78</v>
      </c>
      <c r="K15" s="138" t="s">
        <v>78</v>
      </c>
      <c r="L15" s="69" t="s">
        <v>78</v>
      </c>
      <c r="M15" s="138" t="s">
        <v>78</v>
      </c>
      <c r="N15" s="138" t="s">
        <v>78</v>
      </c>
      <c r="O15" s="138" t="s">
        <v>78</v>
      </c>
      <c r="P15" s="69" t="s">
        <v>78</v>
      </c>
      <c r="Q15" s="69" t="s">
        <v>78</v>
      </c>
      <c r="R15" s="138" t="s">
        <v>78</v>
      </c>
      <c r="S15" s="138" t="s">
        <v>78</v>
      </c>
      <c r="T15" s="17" t="s">
        <v>78</v>
      </c>
      <c r="U15" s="138" t="s">
        <v>78</v>
      </c>
      <c r="V15" s="69" t="s">
        <v>78</v>
      </c>
      <c r="W15" s="138" t="s">
        <v>78</v>
      </c>
      <c r="X15" s="69" t="s">
        <v>78</v>
      </c>
      <c r="Y15" s="138" t="s">
        <v>78</v>
      </c>
      <c r="Z15" s="138" t="s">
        <v>78</v>
      </c>
      <c r="AA15" s="138" t="s">
        <v>78</v>
      </c>
      <c r="AB15" s="138" t="s">
        <v>78</v>
      </c>
      <c r="AC15" s="77" t="s">
        <v>78</v>
      </c>
      <c r="AD15" s="151" t="s">
        <v>78</v>
      </c>
      <c r="AE15" s="69" t="s">
        <v>78</v>
      </c>
      <c r="AF15" s="138" t="s">
        <v>78</v>
      </c>
      <c r="AG15" s="69" t="s">
        <v>78</v>
      </c>
      <c r="AH15" s="138" t="s">
        <v>78</v>
      </c>
      <c r="AI15" s="138" t="s">
        <v>78</v>
      </c>
      <c r="AJ15" s="138" t="s">
        <v>78</v>
      </c>
      <c r="AK15" s="69" t="s">
        <v>78</v>
      </c>
      <c r="AL15" s="138" t="s">
        <v>78</v>
      </c>
      <c r="AM15" s="137">
        <v>1E-3</v>
      </c>
      <c r="AN15" s="138" t="s">
        <v>78</v>
      </c>
      <c r="AO15" s="138" t="s">
        <v>78</v>
      </c>
      <c r="AP15" s="69" t="s">
        <v>78</v>
      </c>
      <c r="AQ15" s="69" t="s">
        <v>78</v>
      </c>
      <c r="AR15" s="138" t="s">
        <v>78</v>
      </c>
      <c r="AS15" s="138" t="s">
        <v>78</v>
      </c>
      <c r="AT15" s="138" t="s">
        <v>78</v>
      </c>
      <c r="AU15" s="138" t="s">
        <v>78</v>
      </c>
      <c r="AV15" s="138" t="s">
        <v>78</v>
      </c>
      <c r="AW15" s="138" t="s">
        <v>78</v>
      </c>
      <c r="AX15" s="138" t="s">
        <v>78</v>
      </c>
      <c r="AY15" s="138" t="s">
        <v>78</v>
      </c>
      <c r="AZ15" s="69" t="s">
        <v>78</v>
      </c>
      <c r="BA15" s="138" t="s">
        <v>78</v>
      </c>
      <c r="BB15" s="138" t="s">
        <v>78</v>
      </c>
      <c r="BC15" s="69" t="s">
        <v>78</v>
      </c>
      <c r="BD15" s="69" t="s">
        <v>78</v>
      </c>
      <c r="BE15" s="138" t="s">
        <v>78</v>
      </c>
      <c r="BF15" s="138" t="s">
        <v>78</v>
      </c>
      <c r="BG15" s="138" t="s">
        <v>78</v>
      </c>
      <c r="BH15" s="138" t="s">
        <v>78</v>
      </c>
      <c r="BI15" s="138" t="s">
        <v>78</v>
      </c>
      <c r="BJ15" s="138" t="s">
        <v>78</v>
      </c>
      <c r="BK15" s="69" t="s">
        <v>78</v>
      </c>
      <c r="BL15" s="69" t="s">
        <v>78</v>
      </c>
      <c r="BM15" s="138" t="s">
        <v>78</v>
      </c>
      <c r="BN15" s="138" t="s">
        <v>78</v>
      </c>
      <c r="BO15" s="138" t="s">
        <v>78</v>
      </c>
      <c r="BP15" s="138" t="s">
        <v>78</v>
      </c>
      <c r="BQ15" s="138" t="s">
        <v>78</v>
      </c>
      <c r="BR15" s="138" t="s">
        <v>78</v>
      </c>
      <c r="BS15" s="138" t="s">
        <v>78</v>
      </c>
      <c r="BT15" s="138" t="s">
        <v>78</v>
      </c>
      <c r="BU15" s="138" t="s">
        <v>78</v>
      </c>
      <c r="BV15" s="138" t="s">
        <v>78</v>
      </c>
      <c r="BW15" s="138" t="s">
        <v>78</v>
      </c>
      <c r="BX15" s="137">
        <v>5.1999999999999998E-2</v>
      </c>
      <c r="BY15" s="138" t="s">
        <v>78</v>
      </c>
      <c r="BZ15" s="138" t="s">
        <v>78</v>
      </c>
      <c r="CA15" s="138" t="s">
        <v>467</v>
      </c>
      <c r="CB15" s="138" t="s">
        <v>78</v>
      </c>
      <c r="CC15" s="138" t="s">
        <v>78</v>
      </c>
      <c r="CD15" s="138" t="s">
        <v>78</v>
      </c>
      <c r="CE15" s="69" t="s">
        <v>78</v>
      </c>
      <c r="CF15" s="138" t="s">
        <v>78</v>
      </c>
      <c r="CG15" s="138" t="s">
        <v>78</v>
      </c>
      <c r="CH15" s="138" t="s">
        <v>78</v>
      </c>
      <c r="CI15" s="138" t="s">
        <v>78</v>
      </c>
      <c r="CJ15" s="69" t="s">
        <v>78</v>
      </c>
      <c r="CK15" s="138" t="s">
        <v>78</v>
      </c>
      <c r="CL15" s="138" t="s">
        <v>78</v>
      </c>
      <c r="CM15" s="138" t="s">
        <v>78</v>
      </c>
      <c r="CN15" s="138" t="s">
        <v>78</v>
      </c>
      <c r="CO15" s="138" t="s">
        <v>78</v>
      </c>
      <c r="CP15" s="138" t="s">
        <v>78</v>
      </c>
      <c r="CQ15" s="138" t="s">
        <v>78</v>
      </c>
      <c r="CR15" s="138" t="s">
        <v>78</v>
      </c>
      <c r="CS15" s="69" t="s">
        <v>78</v>
      </c>
      <c r="CT15" s="69" t="s">
        <v>78</v>
      </c>
      <c r="CU15" s="17" t="s">
        <v>78</v>
      </c>
      <c r="CV15" s="69" t="s">
        <v>78</v>
      </c>
      <c r="CW15" s="138" t="s">
        <v>78</v>
      </c>
      <c r="CX15" s="138" t="s">
        <v>78</v>
      </c>
      <c r="CY15" s="69" t="s">
        <v>78</v>
      </c>
      <c r="CZ15" s="69" t="s">
        <v>78</v>
      </c>
      <c r="DA15" s="138" t="s">
        <v>78</v>
      </c>
      <c r="DB15" s="138" t="s">
        <v>78</v>
      </c>
      <c r="DC15" s="138" t="s">
        <v>78</v>
      </c>
      <c r="DD15" s="138" t="s">
        <v>78</v>
      </c>
      <c r="DE15" s="138" t="s">
        <v>78</v>
      </c>
      <c r="DF15" s="138" t="s">
        <v>78</v>
      </c>
      <c r="DG15" s="138" t="s">
        <v>78</v>
      </c>
      <c r="DH15" s="69" t="s">
        <v>78</v>
      </c>
      <c r="DI15" s="98">
        <v>4.5999999999999999E-2</v>
      </c>
      <c r="DJ15" s="138" t="s">
        <v>78</v>
      </c>
      <c r="DK15" s="138" t="s">
        <v>78</v>
      </c>
      <c r="DL15" s="138" t="s">
        <v>78</v>
      </c>
      <c r="DM15" s="138" t="s">
        <v>78</v>
      </c>
      <c r="DN15" s="138" t="s">
        <v>78</v>
      </c>
      <c r="DO15" s="138" t="s">
        <v>78</v>
      </c>
      <c r="DP15" s="315" t="s">
        <v>78</v>
      </c>
      <c r="DQ15" s="45"/>
    </row>
    <row r="16" spans="2:141" ht="16.5" x14ac:dyDescent="0.35">
      <c r="B16" s="128"/>
      <c r="C16" s="34"/>
      <c r="D16" s="41">
        <v>30600819</v>
      </c>
      <c r="E16" s="141" t="s">
        <v>61</v>
      </c>
      <c r="F16" s="54" t="s">
        <v>134</v>
      </c>
      <c r="G16" s="165" t="s">
        <v>183</v>
      </c>
      <c r="H16" s="536" t="s">
        <v>78</v>
      </c>
      <c r="I16" s="69" t="s">
        <v>78</v>
      </c>
      <c r="J16" s="69" t="s">
        <v>78</v>
      </c>
      <c r="K16" s="138" t="s">
        <v>78</v>
      </c>
      <c r="L16" s="69" t="s">
        <v>78</v>
      </c>
      <c r="M16" s="138" t="s">
        <v>78</v>
      </c>
      <c r="N16" s="138" t="s">
        <v>78</v>
      </c>
      <c r="O16" s="138" t="s">
        <v>78</v>
      </c>
      <c r="P16" s="69" t="s">
        <v>78</v>
      </c>
      <c r="Q16" s="69" t="s">
        <v>78</v>
      </c>
      <c r="R16" s="138" t="s">
        <v>78</v>
      </c>
      <c r="S16" s="138" t="s">
        <v>78</v>
      </c>
      <c r="T16" s="17" t="s">
        <v>78</v>
      </c>
      <c r="U16" s="138" t="s">
        <v>78</v>
      </c>
      <c r="V16" s="69" t="s">
        <v>78</v>
      </c>
      <c r="W16" s="138" t="s">
        <v>78</v>
      </c>
      <c r="X16" s="69" t="s">
        <v>78</v>
      </c>
      <c r="Y16" s="138" t="s">
        <v>78</v>
      </c>
      <c r="Z16" s="138" t="s">
        <v>78</v>
      </c>
      <c r="AA16" s="138" t="s">
        <v>78</v>
      </c>
      <c r="AB16" s="138" t="s">
        <v>78</v>
      </c>
      <c r="AC16" s="77" t="s">
        <v>78</v>
      </c>
      <c r="AD16" s="151" t="s">
        <v>78</v>
      </c>
      <c r="AE16" s="69" t="s">
        <v>78</v>
      </c>
      <c r="AF16" s="138" t="s">
        <v>78</v>
      </c>
      <c r="AG16" s="69" t="s">
        <v>78</v>
      </c>
      <c r="AH16" s="138" t="s">
        <v>78</v>
      </c>
      <c r="AI16" s="138" t="s">
        <v>78</v>
      </c>
      <c r="AJ16" s="138" t="s">
        <v>78</v>
      </c>
      <c r="AK16" s="69" t="s">
        <v>78</v>
      </c>
      <c r="AL16" s="138" t="s">
        <v>78</v>
      </c>
      <c r="AM16" s="137">
        <v>1E-3</v>
      </c>
      <c r="AN16" s="138" t="s">
        <v>78</v>
      </c>
      <c r="AO16" s="138" t="s">
        <v>78</v>
      </c>
      <c r="AP16" s="69" t="s">
        <v>78</v>
      </c>
      <c r="AQ16" s="69" t="s">
        <v>78</v>
      </c>
      <c r="AR16" s="138" t="s">
        <v>78</v>
      </c>
      <c r="AS16" s="138" t="s">
        <v>78</v>
      </c>
      <c r="AT16" s="138" t="s">
        <v>78</v>
      </c>
      <c r="AU16" s="138" t="s">
        <v>78</v>
      </c>
      <c r="AV16" s="138" t="s">
        <v>78</v>
      </c>
      <c r="AW16" s="138" t="s">
        <v>78</v>
      </c>
      <c r="AX16" s="138" t="s">
        <v>78</v>
      </c>
      <c r="AY16" s="138" t="s">
        <v>78</v>
      </c>
      <c r="AZ16" s="69" t="s">
        <v>78</v>
      </c>
      <c r="BA16" s="138" t="s">
        <v>78</v>
      </c>
      <c r="BB16" s="138" t="s">
        <v>78</v>
      </c>
      <c r="BC16" s="69" t="s">
        <v>78</v>
      </c>
      <c r="BD16" s="69" t="s">
        <v>78</v>
      </c>
      <c r="BE16" s="138" t="s">
        <v>78</v>
      </c>
      <c r="BF16" s="138" t="s">
        <v>78</v>
      </c>
      <c r="BG16" s="138" t="s">
        <v>78</v>
      </c>
      <c r="BH16" s="138" t="s">
        <v>78</v>
      </c>
      <c r="BI16" s="138" t="s">
        <v>78</v>
      </c>
      <c r="BJ16" s="138" t="s">
        <v>78</v>
      </c>
      <c r="BK16" s="69" t="s">
        <v>78</v>
      </c>
      <c r="BL16" s="69" t="s">
        <v>78</v>
      </c>
      <c r="BM16" s="138" t="s">
        <v>78</v>
      </c>
      <c r="BN16" s="138" t="s">
        <v>78</v>
      </c>
      <c r="BO16" s="138" t="s">
        <v>78</v>
      </c>
      <c r="BP16" s="138" t="s">
        <v>78</v>
      </c>
      <c r="BQ16" s="138" t="s">
        <v>78</v>
      </c>
      <c r="BR16" s="138" t="s">
        <v>78</v>
      </c>
      <c r="BS16" s="138" t="s">
        <v>78</v>
      </c>
      <c r="BT16" s="138" t="s">
        <v>78</v>
      </c>
      <c r="BU16" s="138" t="s">
        <v>78</v>
      </c>
      <c r="BV16" s="138" t="s">
        <v>78</v>
      </c>
      <c r="BW16" s="138" t="s">
        <v>78</v>
      </c>
      <c r="BX16" s="137">
        <v>5.1999999999999998E-2</v>
      </c>
      <c r="BY16" s="138" t="s">
        <v>78</v>
      </c>
      <c r="BZ16" s="138" t="s">
        <v>78</v>
      </c>
      <c r="CA16" s="138" t="s">
        <v>467</v>
      </c>
      <c r="CB16" s="138" t="s">
        <v>78</v>
      </c>
      <c r="CC16" s="138" t="s">
        <v>78</v>
      </c>
      <c r="CD16" s="138" t="s">
        <v>78</v>
      </c>
      <c r="CE16" s="69" t="s">
        <v>78</v>
      </c>
      <c r="CF16" s="138" t="s">
        <v>78</v>
      </c>
      <c r="CG16" s="138" t="s">
        <v>78</v>
      </c>
      <c r="CH16" s="138" t="s">
        <v>78</v>
      </c>
      <c r="CI16" s="138" t="s">
        <v>78</v>
      </c>
      <c r="CJ16" s="69" t="s">
        <v>78</v>
      </c>
      <c r="CK16" s="138" t="s">
        <v>78</v>
      </c>
      <c r="CL16" s="138" t="s">
        <v>78</v>
      </c>
      <c r="CM16" s="138" t="s">
        <v>78</v>
      </c>
      <c r="CN16" s="138" t="s">
        <v>78</v>
      </c>
      <c r="CO16" s="138" t="s">
        <v>78</v>
      </c>
      <c r="CP16" s="138" t="s">
        <v>78</v>
      </c>
      <c r="CQ16" s="138" t="s">
        <v>78</v>
      </c>
      <c r="CR16" s="138" t="s">
        <v>78</v>
      </c>
      <c r="CS16" s="69" t="s">
        <v>78</v>
      </c>
      <c r="CT16" s="69" t="s">
        <v>78</v>
      </c>
      <c r="CU16" s="17" t="s">
        <v>78</v>
      </c>
      <c r="CV16" s="69" t="s">
        <v>78</v>
      </c>
      <c r="CW16" s="138" t="s">
        <v>78</v>
      </c>
      <c r="CX16" s="138" t="s">
        <v>78</v>
      </c>
      <c r="CY16" s="69" t="s">
        <v>78</v>
      </c>
      <c r="CZ16" s="69" t="s">
        <v>78</v>
      </c>
      <c r="DA16" s="138" t="s">
        <v>78</v>
      </c>
      <c r="DB16" s="138" t="s">
        <v>78</v>
      </c>
      <c r="DC16" s="138" t="s">
        <v>78</v>
      </c>
      <c r="DD16" s="138" t="s">
        <v>78</v>
      </c>
      <c r="DE16" s="138" t="s">
        <v>78</v>
      </c>
      <c r="DF16" s="138" t="s">
        <v>78</v>
      </c>
      <c r="DG16" s="138" t="s">
        <v>78</v>
      </c>
      <c r="DH16" s="69" t="s">
        <v>78</v>
      </c>
      <c r="DI16" s="98">
        <v>4.5999999999999999E-2</v>
      </c>
      <c r="DJ16" s="138" t="s">
        <v>78</v>
      </c>
      <c r="DK16" s="138" t="s">
        <v>78</v>
      </c>
      <c r="DL16" s="138" t="s">
        <v>78</v>
      </c>
      <c r="DM16" s="138" t="s">
        <v>78</v>
      </c>
      <c r="DN16" s="138" t="s">
        <v>78</v>
      </c>
      <c r="DO16" s="138" t="s">
        <v>78</v>
      </c>
      <c r="DP16" s="315" t="s">
        <v>78</v>
      </c>
      <c r="DQ16" s="45"/>
    </row>
    <row r="17" spans="2:121" ht="16.5" x14ac:dyDescent="0.35">
      <c r="B17" s="162"/>
      <c r="C17" s="292"/>
      <c r="D17" s="41">
        <v>31000207</v>
      </c>
      <c r="E17" s="141" t="s">
        <v>71</v>
      </c>
      <c r="F17" s="54" t="s">
        <v>134</v>
      </c>
      <c r="G17" s="165" t="s">
        <v>183</v>
      </c>
      <c r="H17" s="536" t="s">
        <v>78</v>
      </c>
      <c r="I17" s="69" t="s">
        <v>78</v>
      </c>
      <c r="J17" s="69" t="s">
        <v>78</v>
      </c>
      <c r="K17" s="138" t="s">
        <v>78</v>
      </c>
      <c r="L17" s="69" t="s">
        <v>78</v>
      </c>
      <c r="M17" s="138" t="s">
        <v>78</v>
      </c>
      <c r="N17" s="138" t="s">
        <v>78</v>
      </c>
      <c r="O17" s="138" t="s">
        <v>78</v>
      </c>
      <c r="P17" s="69" t="s">
        <v>78</v>
      </c>
      <c r="Q17" s="69" t="s">
        <v>78</v>
      </c>
      <c r="R17" s="138" t="s">
        <v>78</v>
      </c>
      <c r="S17" s="138" t="s">
        <v>78</v>
      </c>
      <c r="T17" s="17" t="s">
        <v>78</v>
      </c>
      <c r="U17" s="138" t="s">
        <v>78</v>
      </c>
      <c r="V17" s="69" t="s">
        <v>78</v>
      </c>
      <c r="W17" s="138" t="s">
        <v>78</v>
      </c>
      <c r="X17" s="69" t="s">
        <v>78</v>
      </c>
      <c r="Y17" s="138" t="s">
        <v>78</v>
      </c>
      <c r="Z17" s="138" t="s">
        <v>78</v>
      </c>
      <c r="AA17" s="138" t="s">
        <v>78</v>
      </c>
      <c r="AB17" s="138" t="s">
        <v>78</v>
      </c>
      <c r="AC17" s="77" t="s">
        <v>78</v>
      </c>
      <c r="AD17" s="151" t="s">
        <v>78</v>
      </c>
      <c r="AE17" s="69" t="s">
        <v>78</v>
      </c>
      <c r="AF17" s="138" t="s">
        <v>78</v>
      </c>
      <c r="AG17" s="69" t="s">
        <v>78</v>
      </c>
      <c r="AH17" s="138" t="s">
        <v>78</v>
      </c>
      <c r="AI17" s="138" t="s">
        <v>78</v>
      </c>
      <c r="AJ17" s="138" t="s">
        <v>78</v>
      </c>
      <c r="AK17" s="69" t="s">
        <v>78</v>
      </c>
      <c r="AL17" s="138" t="s">
        <v>78</v>
      </c>
      <c r="AM17" s="137">
        <v>1E-3</v>
      </c>
      <c r="AN17" s="138" t="s">
        <v>78</v>
      </c>
      <c r="AO17" s="138" t="s">
        <v>78</v>
      </c>
      <c r="AP17" s="69" t="s">
        <v>78</v>
      </c>
      <c r="AQ17" s="69" t="s">
        <v>78</v>
      </c>
      <c r="AR17" s="138" t="s">
        <v>78</v>
      </c>
      <c r="AS17" s="138" t="s">
        <v>78</v>
      </c>
      <c r="AT17" s="138" t="s">
        <v>78</v>
      </c>
      <c r="AU17" s="138" t="s">
        <v>78</v>
      </c>
      <c r="AV17" s="138" t="s">
        <v>78</v>
      </c>
      <c r="AW17" s="138" t="s">
        <v>78</v>
      </c>
      <c r="AX17" s="138" t="s">
        <v>78</v>
      </c>
      <c r="AY17" s="138" t="s">
        <v>78</v>
      </c>
      <c r="AZ17" s="69" t="s">
        <v>78</v>
      </c>
      <c r="BA17" s="138" t="s">
        <v>78</v>
      </c>
      <c r="BB17" s="138" t="s">
        <v>78</v>
      </c>
      <c r="BC17" s="69" t="s">
        <v>78</v>
      </c>
      <c r="BD17" s="69" t="s">
        <v>78</v>
      </c>
      <c r="BE17" s="138" t="s">
        <v>78</v>
      </c>
      <c r="BF17" s="138" t="s">
        <v>78</v>
      </c>
      <c r="BG17" s="138" t="s">
        <v>78</v>
      </c>
      <c r="BH17" s="138" t="s">
        <v>78</v>
      </c>
      <c r="BI17" s="138" t="s">
        <v>78</v>
      </c>
      <c r="BJ17" s="138" t="s">
        <v>78</v>
      </c>
      <c r="BK17" s="69" t="s">
        <v>78</v>
      </c>
      <c r="BL17" s="69" t="s">
        <v>78</v>
      </c>
      <c r="BM17" s="138" t="s">
        <v>78</v>
      </c>
      <c r="BN17" s="138" t="s">
        <v>78</v>
      </c>
      <c r="BO17" s="138" t="s">
        <v>78</v>
      </c>
      <c r="BP17" s="138" t="s">
        <v>78</v>
      </c>
      <c r="BQ17" s="138" t="s">
        <v>78</v>
      </c>
      <c r="BR17" s="138" t="s">
        <v>78</v>
      </c>
      <c r="BS17" s="138" t="s">
        <v>78</v>
      </c>
      <c r="BT17" s="138" t="s">
        <v>78</v>
      </c>
      <c r="BU17" s="138" t="s">
        <v>78</v>
      </c>
      <c r="BV17" s="138" t="s">
        <v>78</v>
      </c>
      <c r="BW17" s="138" t="s">
        <v>78</v>
      </c>
      <c r="BX17" s="137">
        <v>5.1999999999999998E-2</v>
      </c>
      <c r="BY17" s="138" t="s">
        <v>78</v>
      </c>
      <c r="BZ17" s="138" t="s">
        <v>78</v>
      </c>
      <c r="CA17" s="138" t="s">
        <v>467</v>
      </c>
      <c r="CB17" s="138" t="s">
        <v>78</v>
      </c>
      <c r="CC17" s="138" t="s">
        <v>78</v>
      </c>
      <c r="CD17" s="138" t="s">
        <v>78</v>
      </c>
      <c r="CE17" s="69" t="s">
        <v>78</v>
      </c>
      <c r="CF17" s="138" t="s">
        <v>78</v>
      </c>
      <c r="CG17" s="138" t="s">
        <v>78</v>
      </c>
      <c r="CH17" s="138" t="s">
        <v>78</v>
      </c>
      <c r="CI17" s="138" t="s">
        <v>78</v>
      </c>
      <c r="CJ17" s="69" t="s">
        <v>78</v>
      </c>
      <c r="CK17" s="138" t="s">
        <v>78</v>
      </c>
      <c r="CL17" s="138" t="s">
        <v>78</v>
      </c>
      <c r="CM17" s="138" t="s">
        <v>78</v>
      </c>
      <c r="CN17" s="138" t="s">
        <v>78</v>
      </c>
      <c r="CO17" s="138" t="s">
        <v>78</v>
      </c>
      <c r="CP17" s="138" t="s">
        <v>78</v>
      </c>
      <c r="CQ17" s="138" t="s">
        <v>78</v>
      </c>
      <c r="CR17" s="138" t="s">
        <v>78</v>
      </c>
      <c r="CS17" s="69" t="s">
        <v>78</v>
      </c>
      <c r="CT17" s="69" t="s">
        <v>78</v>
      </c>
      <c r="CU17" s="17" t="s">
        <v>78</v>
      </c>
      <c r="CV17" s="69" t="s">
        <v>78</v>
      </c>
      <c r="CW17" s="138" t="s">
        <v>78</v>
      </c>
      <c r="CX17" s="138" t="s">
        <v>78</v>
      </c>
      <c r="CY17" s="69" t="s">
        <v>78</v>
      </c>
      <c r="CZ17" s="69" t="s">
        <v>78</v>
      </c>
      <c r="DA17" s="138" t="s">
        <v>78</v>
      </c>
      <c r="DB17" s="138" t="s">
        <v>78</v>
      </c>
      <c r="DC17" s="138" t="s">
        <v>78</v>
      </c>
      <c r="DD17" s="138" t="s">
        <v>78</v>
      </c>
      <c r="DE17" s="138" t="s">
        <v>78</v>
      </c>
      <c r="DF17" s="138" t="s">
        <v>78</v>
      </c>
      <c r="DG17" s="138" t="s">
        <v>78</v>
      </c>
      <c r="DH17" s="69" t="s">
        <v>78</v>
      </c>
      <c r="DI17" s="98">
        <v>4.5999999999999999E-2</v>
      </c>
      <c r="DJ17" s="138" t="s">
        <v>78</v>
      </c>
      <c r="DK17" s="138" t="s">
        <v>78</v>
      </c>
      <c r="DL17" s="138" t="s">
        <v>78</v>
      </c>
      <c r="DM17" s="138" t="s">
        <v>78</v>
      </c>
      <c r="DN17" s="138" t="s">
        <v>78</v>
      </c>
      <c r="DO17" s="138" t="s">
        <v>78</v>
      </c>
      <c r="DP17" s="315" t="s">
        <v>78</v>
      </c>
      <c r="DQ17" s="45"/>
    </row>
    <row r="18" spans="2:121" ht="16.5" x14ac:dyDescent="0.35">
      <c r="B18" s="162"/>
      <c r="C18" s="292"/>
      <c r="D18" s="41">
        <v>31000226</v>
      </c>
      <c r="E18" s="141" t="s">
        <v>72</v>
      </c>
      <c r="F18" s="54" t="s">
        <v>134</v>
      </c>
      <c r="G18" s="165" t="s">
        <v>183</v>
      </c>
      <c r="H18" s="536" t="s">
        <v>78</v>
      </c>
      <c r="I18" s="69" t="s">
        <v>78</v>
      </c>
      <c r="J18" s="69" t="s">
        <v>78</v>
      </c>
      <c r="K18" s="138" t="s">
        <v>78</v>
      </c>
      <c r="L18" s="69" t="s">
        <v>78</v>
      </c>
      <c r="M18" s="138" t="s">
        <v>78</v>
      </c>
      <c r="N18" s="138" t="s">
        <v>78</v>
      </c>
      <c r="O18" s="138" t="s">
        <v>78</v>
      </c>
      <c r="P18" s="69" t="s">
        <v>78</v>
      </c>
      <c r="Q18" s="69" t="s">
        <v>78</v>
      </c>
      <c r="R18" s="138" t="s">
        <v>78</v>
      </c>
      <c r="S18" s="138" t="s">
        <v>78</v>
      </c>
      <c r="T18" s="17" t="s">
        <v>78</v>
      </c>
      <c r="U18" s="138" t="s">
        <v>78</v>
      </c>
      <c r="V18" s="69" t="s">
        <v>78</v>
      </c>
      <c r="W18" s="138" t="s">
        <v>78</v>
      </c>
      <c r="X18" s="69" t="s">
        <v>78</v>
      </c>
      <c r="Y18" s="138" t="s">
        <v>78</v>
      </c>
      <c r="Z18" s="138" t="s">
        <v>78</v>
      </c>
      <c r="AA18" s="138" t="s">
        <v>78</v>
      </c>
      <c r="AB18" s="138" t="s">
        <v>78</v>
      </c>
      <c r="AC18" s="77" t="s">
        <v>78</v>
      </c>
      <c r="AD18" s="151" t="s">
        <v>78</v>
      </c>
      <c r="AE18" s="69" t="s">
        <v>78</v>
      </c>
      <c r="AF18" s="138" t="s">
        <v>78</v>
      </c>
      <c r="AG18" s="69" t="s">
        <v>78</v>
      </c>
      <c r="AH18" s="138" t="s">
        <v>78</v>
      </c>
      <c r="AI18" s="138" t="s">
        <v>78</v>
      </c>
      <c r="AJ18" s="138" t="s">
        <v>78</v>
      </c>
      <c r="AK18" s="69" t="s">
        <v>78</v>
      </c>
      <c r="AL18" s="138" t="s">
        <v>78</v>
      </c>
      <c r="AM18" s="137">
        <v>1E-3</v>
      </c>
      <c r="AN18" s="138" t="s">
        <v>78</v>
      </c>
      <c r="AO18" s="138" t="s">
        <v>78</v>
      </c>
      <c r="AP18" s="69" t="s">
        <v>78</v>
      </c>
      <c r="AQ18" s="69" t="s">
        <v>78</v>
      </c>
      <c r="AR18" s="138" t="s">
        <v>78</v>
      </c>
      <c r="AS18" s="138" t="s">
        <v>78</v>
      </c>
      <c r="AT18" s="138" t="s">
        <v>78</v>
      </c>
      <c r="AU18" s="138" t="s">
        <v>78</v>
      </c>
      <c r="AV18" s="138" t="s">
        <v>78</v>
      </c>
      <c r="AW18" s="138" t="s">
        <v>78</v>
      </c>
      <c r="AX18" s="138" t="s">
        <v>78</v>
      </c>
      <c r="AY18" s="138" t="s">
        <v>78</v>
      </c>
      <c r="AZ18" s="69" t="s">
        <v>78</v>
      </c>
      <c r="BA18" s="138" t="s">
        <v>78</v>
      </c>
      <c r="BB18" s="138" t="s">
        <v>78</v>
      </c>
      <c r="BC18" s="69" t="s">
        <v>78</v>
      </c>
      <c r="BD18" s="69" t="s">
        <v>78</v>
      </c>
      <c r="BE18" s="138" t="s">
        <v>78</v>
      </c>
      <c r="BF18" s="138" t="s">
        <v>78</v>
      </c>
      <c r="BG18" s="138" t="s">
        <v>78</v>
      </c>
      <c r="BH18" s="138" t="s">
        <v>78</v>
      </c>
      <c r="BI18" s="138" t="s">
        <v>78</v>
      </c>
      <c r="BJ18" s="138" t="s">
        <v>78</v>
      </c>
      <c r="BK18" s="69" t="s">
        <v>78</v>
      </c>
      <c r="BL18" s="69" t="s">
        <v>78</v>
      </c>
      <c r="BM18" s="138" t="s">
        <v>78</v>
      </c>
      <c r="BN18" s="138" t="s">
        <v>78</v>
      </c>
      <c r="BO18" s="138" t="s">
        <v>78</v>
      </c>
      <c r="BP18" s="138" t="s">
        <v>78</v>
      </c>
      <c r="BQ18" s="138" t="s">
        <v>78</v>
      </c>
      <c r="BR18" s="138" t="s">
        <v>78</v>
      </c>
      <c r="BS18" s="138" t="s">
        <v>78</v>
      </c>
      <c r="BT18" s="138" t="s">
        <v>78</v>
      </c>
      <c r="BU18" s="138" t="s">
        <v>78</v>
      </c>
      <c r="BV18" s="138" t="s">
        <v>78</v>
      </c>
      <c r="BW18" s="138" t="s">
        <v>78</v>
      </c>
      <c r="BX18" s="137">
        <v>5.1999999999999998E-2</v>
      </c>
      <c r="BY18" s="138" t="s">
        <v>78</v>
      </c>
      <c r="BZ18" s="138" t="s">
        <v>78</v>
      </c>
      <c r="CA18" s="138" t="s">
        <v>467</v>
      </c>
      <c r="CB18" s="138" t="s">
        <v>78</v>
      </c>
      <c r="CC18" s="138" t="s">
        <v>78</v>
      </c>
      <c r="CD18" s="138" t="s">
        <v>78</v>
      </c>
      <c r="CE18" s="69" t="s">
        <v>78</v>
      </c>
      <c r="CF18" s="138" t="s">
        <v>78</v>
      </c>
      <c r="CG18" s="138" t="s">
        <v>78</v>
      </c>
      <c r="CH18" s="138" t="s">
        <v>78</v>
      </c>
      <c r="CI18" s="138" t="s">
        <v>78</v>
      </c>
      <c r="CJ18" s="69" t="s">
        <v>78</v>
      </c>
      <c r="CK18" s="138" t="s">
        <v>78</v>
      </c>
      <c r="CL18" s="138" t="s">
        <v>78</v>
      </c>
      <c r="CM18" s="138" t="s">
        <v>78</v>
      </c>
      <c r="CN18" s="138" t="s">
        <v>78</v>
      </c>
      <c r="CO18" s="138" t="s">
        <v>78</v>
      </c>
      <c r="CP18" s="138" t="s">
        <v>78</v>
      </c>
      <c r="CQ18" s="138" t="s">
        <v>78</v>
      </c>
      <c r="CR18" s="138" t="s">
        <v>78</v>
      </c>
      <c r="CS18" s="69" t="s">
        <v>78</v>
      </c>
      <c r="CT18" s="69" t="s">
        <v>78</v>
      </c>
      <c r="CU18" s="17" t="s">
        <v>78</v>
      </c>
      <c r="CV18" s="69" t="s">
        <v>78</v>
      </c>
      <c r="CW18" s="138" t="s">
        <v>78</v>
      </c>
      <c r="CX18" s="138" t="s">
        <v>78</v>
      </c>
      <c r="CY18" s="69" t="s">
        <v>78</v>
      </c>
      <c r="CZ18" s="69" t="s">
        <v>78</v>
      </c>
      <c r="DA18" s="138" t="s">
        <v>78</v>
      </c>
      <c r="DB18" s="138" t="s">
        <v>78</v>
      </c>
      <c r="DC18" s="138" t="s">
        <v>78</v>
      </c>
      <c r="DD18" s="138" t="s">
        <v>78</v>
      </c>
      <c r="DE18" s="138" t="s">
        <v>78</v>
      </c>
      <c r="DF18" s="138" t="s">
        <v>78</v>
      </c>
      <c r="DG18" s="138" t="s">
        <v>78</v>
      </c>
      <c r="DH18" s="69" t="s">
        <v>78</v>
      </c>
      <c r="DI18" s="98">
        <v>4.5999999999999999E-2</v>
      </c>
      <c r="DJ18" s="138" t="s">
        <v>78</v>
      </c>
      <c r="DK18" s="138" t="s">
        <v>78</v>
      </c>
      <c r="DL18" s="138" t="s">
        <v>78</v>
      </c>
      <c r="DM18" s="138" t="s">
        <v>78</v>
      </c>
      <c r="DN18" s="138" t="s">
        <v>78</v>
      </c>
      <c r="DO18" s="138" t="s">
        <v>78</v>
      </c>
      <c r="DP18" s="315" t="s">
        <v>78</v>
      </c>
      <c r="DQ18" s="45"/>
    </row>
    <row r="19" spans="2:121" ht="16.5" x14ac:dyDescent="0.35">
      <c r="B19" s="162"/>
      <c r="C19" s="292"/>
      <c r="D19" s="41">
        <v>31000130</v>
      </c>
      <c r="E19" s="141" t="s">
        <v>69</v>
      </c>
      <c r="F19" s="54" t="s">
        <v>147</v>
      </c>
      <c r="G19" s="165" t="s">
        <v>183</v>
      </c>
      <c r="H19" s="536" t="s">
        <v>78</v>
      </c>
      <c r="I19" s="69" t="s">
        <v>78</v>
      </c>
      <c r="J19" s="69" t="s">
        <v>78</v>
      </c>
      <c r="K19" s="138" t="s">
        <v>78</v>
      </c>
      <c r="L19" s="69" t="s">
        <v>78</v>
      </c>
      <c r="M19" s="138" t="s">
        <v>78</v>
      </c>
      <c r="N19" s="138" t="s">
        <v>78</v>
      </c>
      <c r="O19" s="138" t="s">
        <v>78</v>
      </c>
      <c r="P19" s="69" t="s">
        <v>78</v>
      </c>
      <c r="Q19" s="69" t="s">
        <v>78</v>
      </c>
      <c r="R19" s="138" t="s">
        <v>78</v>
      </c>
      <c r="S19" s="138" t="s">
        <v>78</v>
      </c>
      <c r="T19" s="17" t="s">
        <v>78</v>
      </c>
      <c r="U19" s="138" t="s">
        <v>78</v>
      </c>
      <c r="V19" s="69" t="s">
        <v>78</v>
      </c>
      <c r="W19" s="138" t="s">
        <v>78</v>
      </c>
      <c r="X19" s="69" t="s">
        <v>78</v>
      </c>
      <c r="Y19" s="138" t="s">
        <v>78</v>
      </c>
      <c r="Z19" s="138" t="s">
        <v>78</v>
      </c>
      <c r="AA19" s="138" t="s">
        <v>78</v>
      </c>
      <c r="AB19" s="138" t="s">
        <v>78</v>
      </c>
      <c r="AC19" s="77" t="s">
        <v>78</v>
      </c>
      <c r="AD19" s="151" t="s">
        <v>78</v>
      </c>
      <c r="AE19" s="69" t="s">
        <v>78</v>
      </c>
      <c r="AF19" s="138" t="s">
        <v>78</v>
      </c>
      <c r="AG19" s="69" t="s">
        <v>78</v>
      </c>
      <c r="AH19" s="138" t="s">
        <v>78</v>
      </c>
      <c r="AI19" s="138" t="s">
        <v>78</v>
      </c>
      <c r="AJ19" s="138" t="s">
        <v>78</v>
      </c>
      <c r="AK19" s="69" t="s">
        <v>78</v>
      </c>
      <c r="AL19" s="138" t="s">
        <v>78</v>
      </c>
      <c r="AM19" s="137">
        <v>1E-3</v>
      </c>
      <c r="AN19" s="138" t="s">
        <v>78</v>
      </c>
      <c r="AO19" s="138" t="s">
        <v>78</v>
      </c>
      <c r="AP19" s="69" t="s">
        <v>78</v>
      </c>
      <c r="AQ19" s="69" t="s">
        <v>78</v>
      </c>
      <c r="AR19" s="138" t="s">
        <v>78</v>
      </c>
      <c r="AS19" s="138" t="s">
        <v>78</v>
      </c>
      <c r="AT19" s="138" t="s">
        <v>78</v>
      </c>
      <c r="AU19" s="138" t="s">
        <v>78</v>
      </c>
      <c r="AV19" s="138" t="s">
        <v>78</v>
      </c>
      <c r="AW19" s="138" t="s">
        <v>78</v>
      </c>
      <c r="AX19" s="138" t="s">
        <v>78</v>
      </c>
      <c r="AY19" s="138" t="s">
        <v>78</v>
      </c>
      <c r="AZ19" s="69" t="s">
        <v>78</v>
      </c>
      <c r="BA19" s="138" t="s">
        <v>78</v>
      </c>
      <c r="BB19" s="138" t="s">
        <v>78</v>
      </c>
      <c r="BC19" s="69" t="s">
        <v>78</v>
      </c>
      <c r="BD19" s="69" t="s">
        <v>78</v>
      </c>
      <c r="BE19" s="138" t="s">
        <v>78</v>
      </c>
      <c r="BF19" s="138" t="s">
        <v>78</v>
      </c>
      <c r="BG19" s="138" t="s">
        <v>78</v>
      </c>
      <c r="BH19" s="138" t="s">
        <v>78</v>
      </c>
      <c r="BI19" s="138" t="s">
        <v>78</v>
      </c>
      <c r="BJ19" s="138" t="s">
        <v>78</v>
      </c>
      <c r="BK19" s="69" t="s">
        <v>78</v>
      </c>
      <c r="BL19" s="69" t="s">
        <v>78</v>
      </c>
      <c r="BM19" s="138" t="s">
        <v>78</v>
      </c>
      <c r="BN19" s="138" t="s">
        <v>78</v>
      </c>
      <c r="BO19" s="138" t="s">
        <v>78</v>
      </c>
      <c r="BP19" s="138" t="s">
        <v>78</v>
      </c>
      <c r="BQ19" s="138" t="s">
        <v>78</v>
      </c>
      <c r="BR19" s="138" t="s">
        <v>78</v>
      </c>
      <c r="BS19" s="138" t="s">
        <v>78</v>
      </c>
      <c r="BT19" s="138" t="s">
        <v>78</v>
      </c>
      <c r="BU19" s="138" t="s">
        <v>78</v>
      </c>
      <c r="BV19" s="138" t="s">
        <v>78</v>
      </c>
      <c r="BW19" s="138" t="s">
        <v>78</v>
      </c>
      <c r="BX19" s="137">
        <v>9.9000000000000005E-2</v>
      </c>
      <c r="BY19" s="138" t="s">
        <v>78</v>
      </c>
      <c r="BZ19" s="138" t="s">
        <v>78</v>
      </c>
      <c r="CA19" s="138" t="s">
        <v>467</v>
      </c>
      <c r="CB19" s="138" t="s">
        <v>78</v>
      </c>
      <c r="CC19" s="138" t="s">
        <v>78</v>
      </c>
      <c r="CD19" s="138" t="s">
        <v>78</v>
      </c>
      <c r="CE19" s="69" t="s">
        <v>78</v>
      </c>
      <c r="CF19" s="138" t="s">
        <v>78</v>
      </c>
      <c r="CG19" s="138" t="s">
        <v>78</v>
      </c>
      <c r="CH19" s="138" t="s">
        <v>78</v>
      </c>
      <c r="CI19" s="138" t="s">
        <v>78</v>
      </c>
      <c r="CJ19" s="69" t="s">
        <v>78</v>
      </c>
      <c r="CK19" s="138" t="s">
        <v>78</v>
      </c>
      <c r="CL19" s="138" t="s">
        <v>78</v>
      </c>
      <c r="CM19" s="138" t="s">
        <v>78</v>
      </c>
      <c r="CN19" s="138" t="s">
        <v>78</v>
      </c>
      <c r="CO19" s="138" t="s">
        <v>78</v>
      </c>
      <c r="CP19" s="138" t="s">
        <v>78</v>
      </c>
      <c r="CQ19" s="138" t="s">
        <v>78</v>
      </c>
      <c r="CR19" s="138" t="s">
        <v>78</v>
      </c>
      <c r="CS19" s="69" t="s">
        <v>78</v>
      </c>
      <c r="CT19" s="69" t="s">
        <v>78</v>
      </c>
      <c r="CU19" s="17" t="s">
        <v>78</v>
      </c>
      <c r="CV19" s="69" t="s">
        <v>78</v>
      </c>
      <c r="CW19" s="138" t="s">
        <v>78</v>
      </c>
      <c r="CX19" s="138" t="s">
        <v>78</v>
      </c>
      <c r="CY19" s="69" t="s">
        <v>78</v>
      </c>
      <c r="CZ19" s="69" t="s">
        <v>78</v>
      </c>
      <c r="DA19" s="138" t="s">
        <v>78</v>
      </c>
      <c r="DB19" s="138" t="s">
        <v>78</v>
      </c>
      <c r="DC19" s="138" t="s">
        <v>78</v>
      </c>
      <c r="DD19" s="138" t="s">
        <v>78</v>
      </c>
      <c r="DE19" s="138" t="s">
        <v>78</v>
      </c>
      <c r="DF19" s="138" t="s">
        <v>78</v>
      </c>
      <c r="DG19" s="138" t="s">
        <v>78</v>
      </c>
      <c r="DH19" s="69" t="s">
        <v>78</v>
      </c>
      <c r="DI19" s="98">
        <v>8.6999999999999994E-2</v>
      </c>
      <c r="DJ19" s="138" t="s">
        <v>78</v>
      </c>
      <c r="DK19" s="138" t="s">
        <v>78</v>
      </c>
      <c r="DL19" s="138" t="s">
        <v>78</v>
      </c>
      <c r="DM19" s="138" t="s">
        <v>78</v>
      </c>
      <c r="DN19" s="138" t="s">
        <v>78</v>
      </c>
      <c r="DO19" s="138" t="s">
        <v>78</v>
      </c>
      <c r="DP19" s="315" t="s">
        <v>78</v>
      </c>
      <c r="DQ19" s="45"/>
    </row>
    <row r="20" spans="2:121" ht="16.5" x14ac:dyDescent="0.35">
      <c r="B20" s="162"/>
      <c r="C20" s="292"/>
      <c r="D20" s="41">
        <v>31000203</v>
      </c>
      <c r="E20" s="141" t="s">
        <v>70</v>
      </c>
      <c r="F20" s="54" t="s">
        <v>134</v>
      </c>
      <c r="G20" s="165" t="s">
        <v>183</v>
      </c>
      <c r="H20" s="536" t="s">
        <v>78</v>
      </c>
      <c r="I20" s="69" t="s">
        <v>78</v>
      </c>
      <c r="J20" s="69" t="s">
        <v>78</v>
      </c>
      <c r="K20" s="138" t="s">
        <v>78</v>
      </c>
      <c r="L20" s="69" t="s">
        <v>78</v>
      </c>
      <c r="M20" s="138" t="s">
        <v>78</v>
      </c>
      <c r="N20" s="138" t="s">
        <v>78</v>
      </c>
      <c r="O20" s="138" t="s">
        <v>78</v>
      </c>
      <c r="P20" s="69" t="s">
        <v>78</v>
      </c>
      <c r="Q20" s="69" t="s">
        <v>78</v>
      </c>
      <c r="R20" s="138" t="s">
        <v>78</v>
      </c>
      <c r="S20" s="138" t="s">
        <v>78</v>
      </c>
      <c r="T20" s="17" t="s">
        <v>78</v>
      </c>
      <c r="U20" s="138" t="s">
        <v>78</v>
      </c>
      <c r="V20" s="69" t="s">
        <v>78</v>
      </c>
      <c r="W20" s="138" t="s">
        <v>78</v>
      </c>
      <c r="X20" s="69" t="s">
        <v>78</v>
      </c>
      <c r="Y20" s="138" t="s">
        <v>78</v>
      </c>
      <c r="Z20" s="138" t="s">
        <v>78</v>
      </c>
      <c r="AA20" s="138" t="s">
        <v>78</v>
      </c>
      <c r="AB20" s="138" t="s">
        <v>78</v>
      </c>
      <c r="AC20" s="77" t="s">
        <v>78</v>
      </c>
      <c r="AD20" s="151" t="s">
        <v>78</v>
      </c>
      <c r="AE20" s="69" t="s">
        <v>78</v>
      </c>
      <c r="AF20" s="138" t="s">
        <v>78</v>
      </c>
      <c r="AG20" s="69" t="s">
        <v>78</v>
      </c>
      <c r="AH20" s="138" t="s">
        <v>78</v>
      </c>
      <c r="AI20" s="138" t="s">
        <v>78</v>
      </c>
      <c r="AJ20" s="138" t="s">
        <v>78</v>
      </c>
      <c r="AK20" s="69" t="s">
        <v>78</v>
      </c>
      <c r="AL20" s="138" t="s">
        <v>78</v>
      </c>
      <c r="AM20" s="137">
        <v>1E-3</v>
      </c>
      <c r="AN20" s="138" t="s">
        <v>78</v>
      </c>
      <c r="AO20" s="138" t="s">
        <v>78</v>
      </c>
      <c r="AP20" s="69" t="s">
        <v>78</v>
      </c>
      <c r="AQ20" s="69" t="s">
        <v>78</v>
      </c>
      <c r="AR20" s="138" t="s">
        <v>78</v>
      </c>
      <c r="AS20" s="138" t="s">
        <v>78</v>
      </c>
      <c r="AT20" s="138" t="s">
        <v>78</v>
      </c>
      <c r="AU20" s="138" t="s">
        <v>78</v>
      </c>
      <c r="AV20" s="138" t="s">
        <v>78</v>
      </c>
      <c r="AW20" s="138" t="s">
        <v>78</v>
      </c>
      <c r="AX20" s="138" t="s">
        <v>78</v>
      </c>
      <c r="AY20" s="138" t="s">
        <v>78</v>
      </c>
      <c r="AZ20" s="69" t="s">
        <v>78</v>
      </c>
      <c r="BA20" s="138" t="s">
        <v>78</v>
      </c>
      <c r="BB20" s="138" t="s">
        <v>78</v>
      </c>
      <c r="BC20" s="69" t="s">
        <v>78</v>
      </c>
      <c r="BD20" s="69" t="s">
        <v>78</v>
      </c>
      <c r="BE20" s="138" t="s">
        <v>78</v>
      </c>
      <c r="BF20" s="138" t="s">
        <v>78</v>
      </c>
      <c r="BG20" s="138" t="s">
        <v>78</v>
      </c>
      <c r="BH20" s="138" t="s">
        <v>78</v>
      </c>
      <c r="BI20" s="138" t="s">
        <v>78</v>
      </c>
      <c r="BJ20" s="138" t="s">
        <v>78</v>
      </c>
      <c r="BK20" s="69" t="s">
        <v>78</v>
      </c>
      <c r="BL20" s="69" t="s">
        <v>78</v>
      </c>
      <c r="BM20" s="138" t="s">
        <v>78</v>
      </c>
      <c r="BN20" s="138" t="s">
        <v>78</v>
      </c>
      <c r="BO20" s="138" t="s">
        <v>78</v>
      </c>
      <c r="BP20" s="138" t="s">
        <v>78</v>
      </c>
      <c r="BQ20" s="138" t="s">
        <v>78</v>
      </c>
      <c r="BR20" s="138" t="s">
        <v>78</v>
      </c>
      <c r="BS20" s="138" t="s">
        <v>78</v>
      </c>
      <c r="BT20" s="138" t="s">
        <v>78</v>
      </c>
      <c r="BU20" s="138" t="s">
        <v>78</v>
      </c>
      <c r="BV20" s="138" t="s">
        <v>78</v>
      </c>
      <c r="BW20" s="138" t="s">
        <v>78</v>
      </c>
      <c r="BX20" s="137">
        <v>5.1999999999999998E-2</v>
      </c>
      <c r="BY20" s="138" t="s">
        <v>78</v>
      </c>
      <c r="BZ20" s="138" t="s">
        <v>78</v>
      </c>
      <c r="CA20" s="138" t="s">
        <v>467</v>
      </c>
      <c r="CB20" s="138" t="s">
        <v>78</v>
      </c>
      <c r="CC20" s="138" t="s">
        <v>78</v>
      </c>
      <c r="CD20" s="138" t="s">
        <v>78</v>
      </c>
      <c r="CE20" s="69" t="s">
        <v>78</v>
      </c>
      <c r="CF20" s="138" t="s">
        <v>78</v>
      </c>
      <c r="CG20" s="138" t="s">
        <v>78</v>
      </c>
      <c r="CH20" s="138" t="s">
        <v>78</v>
      </c>
      <c r="CI20" s="138" t="s">
        <v>78</v>
      </c>
      <c r="CJ20" s="69" t="s">
        <v>78</v>
      </c>
      <c r="CK20" s="138" t="s">
        <v>78</v>
      </c>
      <c r="CL20" s="138" t="s">
        <v>78</v>
      </c>
      <c r="CM20" s="138" t="s">
        <v>78</v>
      </c>
      <c r="CN20" s="138" t="s">
        <v>78</v>
      </c>
      <c r="CO20" s="138" t="s">
        <v>78</v>
      </c>
      <c r="CP20" s="138" t="s">
        <v>78</v>
      </c>
      <c r="CQ20" s="138" t="s">
        <v>78</v>
      </c>
      <c r="CR20" s="138" t="s">
        <v>78</v>
      </c>
      <c r="CS20" s="69" t="s">
        <v>78</v>
      </c>
      <c r="CT20" s="69" t="s">
        <v>78</v>
      </c>
      <c r="CU20" s="17" t="s">
        <v>78</v>
      </c>
      <c r="CV20" s="69" t="s">
        <v>78</v>
      </c>
      <c r="CW20" s="138" t="s">
        <v>78</v>
      </c>
      <c r="CX20" s="138" t="s">
        <v>78</v>
      </c>
      <c r="CY20" s="69" t="s">
        <v>78</v>
      </c>
      <c r="CZ20" s="69" t="s">
        <v>78</v>
      </c>
      <c r="DA20" s="138" t="s">
        <v>78</v>
      </c>
      <c r="DB20" s="138" t="s">
        <v>78</v>
      </c>
      <c r="DC20" s="138" t="s">
        <v>78</v>
      </c>
      <c r="DD20" s="138" t="s">
        <v>78</v>
      </c>
      <c r="DE20" s="138" t="s">
        <v>78</v>
      </c>
      <c r="DF20" s="138" t="s">
        <v>78</v>
      </c>
      <c r="DG20" s="138" t="s">
        <v>78</v>
      </c>
      <c r="DH20" s="69" t="s">
        <v>78</v>
      </c>
      <c r="DI20" s="98">
        <v>4.5999999999999999E-2</v>
      </c>
      <c r="DJ20" s="138" t="s">
        <v>78</v>
      </c>
      <c r="DK20" s="138" t="s">
        <v>78</v>
      </c>
      <c r="DL20" s="138" t="s">
        <v>78</v>
      </c>
      <c r="DM20" s="138" t="s">
        <v>78</v>
      </c>
      <c r="DN20" s="138" t="s">
        <v>78</v>
      </c>
      <c r="DO20" s="138" t="s">
        <v>78</v>
      </c>
      <c r="DP20" s="315" t="s">
        <v>78</v>
      </c>
      <c r="DQ20" s="45"/>
    </row>
    <row r="21" spans="2:121" ht="15.75" customHeight="1" x14ac:dyDescent="0.35">
      <c r="B21" s="162"/>
      <c r="C21" s="292"/>
      <c r="D21" s="41">
        <v>30600803</v>
      </c>
      <c r="E21" s="141" t="s">
        <v>53</v>
      </c>
      <c r="F21" s="54" t="s">
        <v>147</v>
      </c>
      <c r="G21" s="165" t="s">
        <v>183</v>
      </c>
      <c r="H21" s="536" t="s">
        <v>78</v>
      </c>
      <c r="I21" s="69" t="s">
        <v>78</v>
      </c>
      <c r="J21" s="69" t="s">
        <v>78</v>
      </c>
      <c r="K21" s="138" t="s">
        <v>78</v>
      </c>
      <c r="L21" s="69" t="s">
        <v>78</v>
      </c>
      <c r="M21" s="138" t="s">
        <v>78</v>
      </c>
      <c r="N21" s="138" t="s">
        <v>78</v>
      </c>
      <c r="O21" s="138" t="s">
        <v>78</v>
      </c>
      <c r="P21" s="69" t="s">
        <v>78</v>
      </c>
      <c r="Q21" s="69" t="s">
        <v>78</v>
      </c>
      <c r="R21" s="138" t="s">
        <v>78</v>
      </c>
      <c r="S21" s="138" t="s">
        <v>78</v>
      </c>
      <c r="T21" s="17" t="s">
        <v>78</v>
      </c>
      <c r="U21" s="138" t="s">
        <v>78</v>
      </c>
      <c r="V21" s="69" t="s">
        <v>78</v>
      </c>
      <c r="W21" s="138" t="s">
        <v>78</v>
      </c>
      <c r="X21" s="69" t="s">
        <v>78</v>
      </c>
      <c r="Y21" s="138" t="s">
        <v>78</v>
      </c>
      <c r="Z21" s="138" t="s">
        <v>78</v>
      </c>
      <c r="AA21" s="138" t="s">
        <v>78</v>
      </c>
      <c r="AB21" s="138" t="s">
        <v>78</v>
      </c>
      <c r="AC21" s="77" t="s">
        <v>78</v>
      </c>
      <c r="AD21" s="151" t="s">
        <v>78</v>
      </c>
      <c r="AE21" s="69" t="s">
        <v>78</v>
      </c>
      <c r="AF21" s="138" t="s">
        <v>78</v>
      </c>
      <c r="AG21" s="69" t="s">
        <v>78</v>
      </c>
      <c r="AH21" s="138" t="s">
        <v>78</v>
      </c>
      <c r="AI21" s="138" t="s">
        <v>78</v>
      </c>
      <c r="AJ21" s="138" t="s">
        <v>78</v>
      </c>
      <c r="AK21" s="69" t="s">
        <v>78</v>
      </c>
      <c r="AL21" s="138" t="s">
        <v>78</v>
      </c>
      <c r="AM21" s="137">
        <v>1E-3</v>
      </c>
      <c r="AN21" s="138" t="s">
        <v>78</v>
      </c>
      <c r="AO21" s="138" t="s">
        <v>78</v>
      </c>
      <c r="AP21" s="69" t="s">
        <v>78</v>
      </c>
      <c r="AQ21" s="69" t="s">
        <v>78</v>
      </c>
      <c r="AR21" s="138" t="s">
        <v>78</v>
      </c>
      <c r="AS21" s="138" t="s">
        <v>78</v>
      </c>
      <c r="AT21" s="138" t="s">
        <v>78</v>
      </c>
      <c r="AU21" s="138" t="s">
        <v>78</v>
      </c>
      <c r="AV21" s="138" t="s">
        <v>78</v>
      </c>
      <c r="AW21" s="138" t="s">
        <v>78</v>
      </c>
      <c r="AX21" s="138" t="s">
        <v>78</v>
      </c>
      <c r="AY21" s="138" t="s">
        <v>78</v>
      </c>
      <c r="AZ21" s="69" t="s">
        <v>78</v>
      </c>
      <c r="BA21" s="138" t="s">
        <v>78</v>
      </c>
      <c r="BB21" s="138" t="s">
        <v>78</v>
      </c>
      <c r="BC21" s="69" t="s">
        <v>78</v>
      </c>
      <c r="BD21" s="69" t="s">
        <v>78</v>
      </c>
      <c r="BE21" s="138" t="s">
        <v>78</v>
      </c>
      <c r="BF21" s="138" t="s">
        <v>78</v>
      </c>
      <c r="BG21" s="138" t="s">
        <v>78</v>
      </c>
      <c r="BH21" s="138" t="s">
        <v>78</v>
      </c>
      <c r="BI21" s="138" t="s">
        <v>78</v>
      </c>
      <c r="BJ21" s="138" t="s">
        <v>78</v>
      </c>
      <c r="BK21" s="69" t="s">
        <v>78</v>
      </c>
      <c r="BL21" s="69" t="s">
        <v>78</v>
      </c>
      <c r="BM21" s="138" t="s">
        <v>78</v>
      </c>
      <c r="BN21" s="138" t="s">
        <v>78</v>
      </c>
      <c r="BO21" s="138" t="s">
        <v>78</v>
      </c>
      <c r="BP21" s="138" t="s">
        <v>78</v>
      </c>
      <c r="BQ21" s="138" t="s">
        <v>78</v>
      </c>
      <c r="BR21" s="138" t="s">
        <v>78</v>
      </c>
      <c r="BS21" s="138" t="s">
        <v>78</v>
      </c>
      <c r="BT21" s="138" t="s">
        <v>78</v>
      </c>
      <c r="BU21" s="138" t="s">
        <v>78</v>
      </c>
      <c r="BV21" s="138" t="s">
        <v>78</v>
      </c>
      <c r="BW21" s="138" t="s">
        <v>78</v>
      </c>
      <c r="BX21" s="137">
        <v>9.9000000000000005E-2</v>
      </c>
      <c r="BY21" s="138" t="s">
        <v>78</v>
      </c>
      <c r="BZ21" s="138" t="s">
        <v>78</v>
      </c>
      <c r="CA21" s="138" t="s">
        <v>467</v>
      </c>
      <c r="CB21" s="138" t="s">
        <v>78</v>
      </c>
      <c r="CC21" s="138" t="s">
        <v>78</v>
      </c>
      <c r="CD21" s="138" t="s">
        <v>78</v>
      </c>
      <c r="CE21" s="69" t="s">
        <v>78</v>
      </c>
      <c r="CF21" s="138" t="s">
        <v>78</v>
      </c>
      <c r="CG21" s="138" t="s">
        <v>78</v>
      </c>
      <c r="CH21" s="138" t="s">
        <v>78</v>
      </c>
      <c r="CI21" s="138" t="s">
        <v>78</v>
      </c>
      <c r="CJ21" s="69" t="s">
        <v>78</v>
      </c>
      <c r="CK21" s="138" t="s">
        <v>78</v>
      </c>
      <c r="CL21" s="138" t="s">
        <v>78</v>
      </c>
      <c r="CM21" s="138" t="s">
        <v>78</v>
      </c>
      <c r="CN21" s="138" t="s">
        <v>78</v>
      </c>
      <c r="CO21" s="138" t="s">
        <v>78</v>
      </c>
      <c r="CP21" s="138" t="s">
        <v>78</v>
      </c>
      <c r="CQ21" s="138" t="s">
        <v>78</v>
      </c>
      <c r="CR21" s="138" t="s">
        <v>78</v>
      </c>
      <c r="CS21" s="69" t="s">
        <v>78</v>
      </c>
      <c r="CT21" s="69" t="s">
        <v>78</v>
      </c>
      <c r="CU21" s="17" t="s">
        <v>78</v>
      </c>
      <c r="CV21" s="69" t="s">
        <v>78</v>
      </c>
      <c r="CW21" s="138" t="s">
        <v>78</v>
      </c>
      <c r="CX21" s="138" t="s">
        <v>78</v>
      </c>
      <c r="CY21" s="69" t="s">
        <v>78</v>
      </c>
      <c r="CZ21" s="69" t="s">
        <v>78</v>
      </c>
      <c r="DA21" s="138" t="s">
        <v>78</v>
      </c>
      <c r="DB21" s="138" t="s">
        <v>78</v>
      </c>
      <c r="DC21" s="138" t="s">
        <v>78</v>
      </c>
      <c r="DD21" s="138" t="s">
        <v>78</v>
      </c>
      <c r="DE21" s="138" t="s">
        <v>78</v>
      </c>
      <c r="DF21" s="137" t="s">
        <v>78</v>
      </c>
      <c r="DG21" s="137" t="s">
        <v>78</v>
      </c>
      <c r="DH21" s="98" t="s">
        <v>78</v>
      </c>
      <c r="DI21" s="98">
        <v>8.6999999999999994E-2</v>
      </c>
      <c r="DJ21" s="137" t="s">
        <v>78</v>
      </c>
      <c r="DK21" s="137" t="s">
        <v>78</v>
      </c>
      <c r="DL21" s="137" t="s">
        <v>78</v>
      </c>
      <c r="DM21" s="137" t="s">
        <v>78</v>
      </c>
      <c r="DN21" s="137" t="s">
        <v>78</v>
      </c>
      <c r="DO21" s="137" t="s">
        <v>78</v>
      </c>
      <c r="DP21" s="316" t="s">
        <v>78</v>
      </c>
      <c r="DQ21" s="45"/>
    </row>
    <row r="22" spans="2:121" ht="16.5" x14ac:dyDescent="0.35">
      <c r="B22" s="128"/>
      <c r="C22" s="34"/>
      <c r="D22" s="41">
        <v>30600806</v>
      </c>
      <c r="E22" s="141" t="s">
        <v>54</v>
      </c>
      <c r="F22" s="54" t="s">
        <v>147</v>
      </c>
      <c r="G22" s="165" t="s">
        <v>183</v>
      </c>
      <c r="H22" s="536" t="s">
        <v>78</v>
      </c>
      <c r="I22" s="69" t="s">
        <v>78</v>
      </c>
      <c r="J22" s="69" t="s">
        <v>78</v>
      </c>
      <c r="K22" s="138" t="s">
        <v>78</v>
      </c>
      <c r="L22" s="69" t="s">
        <v>78</v>
      </c>
      <c r="M22" s="138" t="s">
        <v>78</v>
      </c>
      <c r="N22" s="138" t="s">
        <v>78</v>
      </c>
      <c r="O22" s="138" t="s">
        <v>78</v>
      </c>
      <c r="P22" s="69" t="s">
        <v>78</v>
      </c>
      <c r="Q22" s="69" t="s">
        <v>78</v>
      </c>
      <c r="R22" s="138" t="s">
        <v>78</v>
      </c>
      <c r="S22" s="138" t="s">
        <v>78</v>
      </c>
      <c r="T22" s="17" t="s">
        <v>78</v>
      </c>
      <c r="U22" s="138" t="s">
        <v>78</v>
      </c>
      <c r="V22" s="69" t="s">
        <v>78</v>
      </c>
      <c r="W22" s="138" t="s">
        <v>78</v>
      </c>
      <c r="X22" s="69" t="s">
        <v>78</v>
      </c>
      <c r="Y22" s="138" t="s">
        <v>78</v>
      </c>
      <c r="Z22" s="138" t="s">
        <v>78</v>
      </c>
      <c r="AA22" s="138" t="s">
        <v>78</v>
      </c>
      <c r="AB22" s="138" t="s">
        <v>78</v>
      </c>
      <c r="AC22" s="77" t="s">
        <v>78</v>
      </c>
      <c r="AD22" s="151" t="s">
        <v>78</v>
      </c>
      <c r="AE22" s="69" t="s">
        <v>78</v>
      </c>
      <c r="AF22" s="138" t="s">
        <v>78</v>
      </c>
      <c r="AG22" s="69" t="s">
        <v>78</v>
      </c>
      <c r="AH22" s="138" t="s">
        <v>78</v>
      </c>
      <c r="AI22" s="138" t="s">
        <v>78</v>
      </c>
      <c r="AJ22" s="138" t="s">
        <v>78</v>
      </c>
      <c r="AK22" s="69" t="s">
        <v>78</v>
      </c>
      <c r="AL22" s="138" t="s">
        <v>78</v>
      </c>
      <c r="AM22" s="137">
        <v>1E-3</v>
      </c>
      <c r="AN22" s="138" t="s">
        <v>78</v>
      </c>
      <c r="AO22" s="138" t="s">
        <v>78</v>
      </c>
      <c r="AP22" s="69" t="s">
        <v>78</v>
      </c>
      <c r="AQ22" s="69" t="s">
        <v>78</v>
      </c>
      <c r="AR22" s="138" t="s">
        <v>78</v>
      </c>
      <c r="AS22" s="138" t="s">
        <v>78</v>
      </c>
      <c r="AT22" s="138" t="s">
        <v>78</v>
      </c>
      <c r="AU22" s="138" t="s">
        <v>78</v>
      </c>
      <c r="AV22" s="138" t="s">
        <v>78</v>
      </c>
      <c r="AW22" s="138" t="s">
        <v>78</v>
      </c>
      <c r="AX22" s="138" t="s">
        <v>78</v>
      </c>
      <c r="AY22" s="138" t="s">
        <v>78</v>
      </c>
      <c r="AZ22" s="69" t="s">
        <v>78</v>
      </c>
      <c r="BA22" s="138" t="s">
        <v>78</v>
      </c>
      <c r="BB22" s="138" t="s">
        <v>78</v>
      </c>
      <c r="BC22" s="69" t="s">
        <v>78</v>
      </c>
      <c r="BD22" s="69" t="s">
        <v>78</v>
      </c>
      <c r="BE22" s="138" t="s">
        <v>78</v>
      </c>
      <c r="BF22" s="138" t="s">
        <v>78</v>
      </c>
      <c r="BG22" s="138" t="s">
        <v>78</v>
      </c>
      <c r="BH22" s="138" t="s">
        <v>78</v>
      </c>
      <c r="BI22" s="138" t="s">
        <v>78</v>
      </c>
      <c r="BJ22" s="138" t="s">
        <v>78</v>
      </c>
      <c r="BK22" s="69" t="s">
        <v>78</v>
      </c>
      <c r="BL22" s="69" t="s">
        <v>78</v>
      </c>
      <c r="BM22" s="138" t="s">
        <v>78</v>
      </c>
      <c r="BN22" s="138" t="s">
        <v>78</v>
      </c>
      <c r="BO22" s="138" t="s">
        <v>78</v>
      </c>
      <c r="BP22" s="138" t="s">
        <v>78</v>
      </c>
      <c r="BQ22" s="138" t="s">
        <v>78</v>
      </c>
      <c r="BR22" s="138" t="s">
        <v>78</v>
      </c>
      <c r="BS22" s="138" t="s">
        <v>78</v>
      </c>
      <c r="BT22" s="138" t="s">
        <v>78</v>
      </c>
      <c r="BU22" s="138" t="s">
        <v>78</v>
      </c>
      <c r="BV22" s="138" t="s">
        <v>78</v>
      </c>
      <c r="BW22" s="138" t="s">
        <v>78</v>
      </c>
      <c r="BX22" s="137">
        <v>9.9000000000000005E-2</v>
      </c>
      <c r="BY22" s="138" t="s">
        <v>78</v>
      </c>
      <c r="BZ22" s="138" t="s">
        <v>78</v>
      </c>
      <c r="CA22" s="138" t="s">
        <v>467</v>
      </c>
      <c r="CB22" s="138" t="s">
        <v>78</v>
      </c>
      <c r="CC22" s="138" t="s">
        <v>78</v>
      </c>
      <c r="CD22" s="138" t="s">
        <v>78</v>
      </c>
      <c r="CE22" s="69" t="s">
        <v>78</v>
      </c>
      <c r="CF22" s="138" t="s">
        <v>78</v>
      </c>
      <c r="CG22" s="138" t="s">
        <v>78</v>
      </c>
      <c r="CH22" s="138" t="s">
        <v>78</v>
      </c>
      <c r="CI22" s="138" t="s">
        <v>78</v>
      </c>
      <c r="CJ22" s="69" t="s">
        <v>78</v>
      </c>
      <c r="CK22" s="138" t="s">
        <v>78</v>
      </c>
      <c r="CL22" s="138" t="s">
        <v>78</v>
      </c>
      <c r="CM22" s="138" t="s">
        <v>78</v>
      </c>
      <c r="CN22" s="138" t="s">
        <v>78</v>
      </c>
      <c r="CO22" s="138" t="s">
        <v>78</v>
      </c>
      <c r="CP22" s="138" t="s">
        <v>78</v>
      </c>
      <c r="CQ22" s="138" t="s">
        <v>78</v>
      </c>
      <c r="CR22" s="138" t="s">
        <v>78</v>
      </c>
      <c r="CS22" s="69" t="s">
        <v>78</v>
      </c>
      <c r="CT22" s="69" t="s">
        <v>78</v>
      </c>
      <c r="CU22" s="17" t="s">
        <v>78</v>
      </c>
      <c r="CV22" s="69" t="s">
        <v>78</v>
      </c>
      <c r="CW22" s="138" t="s">
        <v>78</v>
      </c>
      <c r="CX22" s="138" t="s">
        <v>78</v>
      </c>
      <c r="CY22" s="69" t="s">
        <v>78</v>
      </c>
      <c r="CZ22" s="69" t="s">
        <v>78</v>
      </c>
      <c r="DA22" s="138" t="s">
        <v>78</v>
      </c>
      <c r="DB22" s="138" t="s">
        <v>78</v>
      </c>
      <c r="DC22" s="138" t="s">
        <v>78</v>
      </c>
      <c r="DD22" s="138" t="s">
        <v>78</v>
      </c>
      <c r="DE22" s="138" t="s">
        <v>78</v>
      </c>
      <c r="DF22" s="137" t="s">
        <v>78</v>
      </c>
      <c r="DG22" s="137" t="s">
        <v>78</v>
      </c>
      <c r="DH22" s="98" t="s">
        <v>78</v>
      </c>
      <c r="DI22" s="98">
        <v>8.6999999999999994E-2</v>
      </c>
      <c r="DJ22" s="137" t="s">
        <v>78</v>
      </c>
      <c r="DK22" s="137" t="s">
        <v>78</v>
      </c>
      <c r="DL22" s="137" t="s">
        <v>78</v>
      </c>
      <c r="DM22" s="137" t="s">
        <v>78</v>
      </c>
      <c r="DN22" s="137" t="s">
        <v>78</v>
      </c>
      <c r="DO22" s="137" t="s">
        <v>78</v>
      </c>
      <c r="DP22" s="316" t="s">
        <v>78</v>
      </c>
      <c r="DQ22" s="45"/>
    </row>
    <row r="23" spans="2:121" ht="16.5" x14ac:dyDescent="0.35">
      <c r="B23" s="128"/>
      <c r="C23" s="34"/>
      <c r="D23" s="41">
        <v>30600817</v>
      </c>
      <c r="E23" s="141" t="s">
        <v>59</v>
      </c>
      <c r="F23" s="54" t="s">
        <v>134</v>
      </c>
      <c r="G23" s="165" t="s">
        <v>183</v>
      </c>
      <c r="H23" s="536" t="s">
        <v>78</v>
      </c>
      <c r="I23" s="69" t="s">
        <v>78</v>
      </c>
      <c r="J23" s="69" t="s">
        <v>78</v>
      </c>
      <c r="K23" s="138" t="s">
        <v>78</v>
      </c>
      <c r="L23" s="69" t="s">
        <v>78</v>
      </c>
      <c r="M23" s="138" t="s">
        <v>78</v>
      </c>
      <c r="N23" s="138" t="s">
        <v>78</v>
      </c>
      <c r="O23" s="138" t="s">
        <v>78</v>
      </c>
      <c r="P23" s="69" t="s">
        <v>78</v>
      </c>
      <c r="Q23" s="69" t="s">
        <v>78</v>
      </c>
      <c r="R23" s="138" t="s">
        <v>78</v>
      </c>
      <c r="S23" s="138" t="s">
        <v>78</v>
      </c>
      <c r="T23" s="17" t="s">
        <v>78</v>
      </c>
      <c r="U23" s="138" t="s">
        <v>78</v>
      </c>
      <c r="V23" s="69" t="s">
        <v>78</v>
      </c>
      <c r="W23" s="138" t="s">
        <v>78</v>
      </c>
      <c r="X23" s="69" t="s">
        <v>78</v>
      </c>
      <c r="Y23" s="138" t="s">
        <v>78</v>
      </c>
      <c r="Z23" s="138" t="s">
        <v>78</v>
      </c>
      <c r="AA23" s="138" t="s">
        <v>78</v>
      </c>
      <c r="AB23" s="138" t="s">
        <v>78</v>
      </c>
      <c r="AC23" s="77" t="s">
        <v>78</v>
      </c>
      <c r="AD23" s="151" t="s">
        <v>78</v>
      </c>
      <c r="AE23" s="69" t="s">
        <v>78</v>
      </c>
      <c r="AF23" s="138" t="s">
        <v>78</v>
      </c>
      <c r="AG23" s="69" t="s">
        <v>78</v>
      </c>
      <c r="AH23" s="138" t="s">
        <v>78</v>
      </c>
      <c r="AI23" s="138" t="s">
        <v>78</v>
      </c>
      <c r="AJ23" s="138" t="s">
        <v>78</v>
      </c>
      <c r="AK23" s="69" t="s">
        <v>78</v>
      </c>
      <c r="AL23" s="138" t="s">
        <v>78</v>
      </c>
      <c r="AM23" s="137">
        <v>1E-3</v>
      </c>
      <c r="AN23" s="138" t="s">
        <v>78</v>
      </c>
      <c r="AO23" s="138" t="s">
        <v>78</v>
      </c>
      <c r="AP23" s="69" t="s">
        <v>78</v>
      </c>
      <c r="AQ23" s="69" t="s">
        <v>78</v>
      </c>
      <c r="AR23" s="138" t="s">
        <v>78</v>
      </c>
      <c r="AS23" s="138" t="s">
        <v>78</v>
      </c>
      <c r="AT23" s="138" t="s">
        <v>78</v>
      </c>
      <c r="AU23" s="138" t="s">
        <v>78</v>
      </c>
      <c r="AV23" s="138" t="s">
        <v>78</v>
      </c>
      <c r="AW23" s="138" t="s">
        <v>78</v>
      </c>
      <c r="AX23" s="138" t="s">
        <v>78</v>
      </c>
      <c r="AY23" s="138" t="s">
        <v>78</v>
      </c>
      <c r="AZ23" s="69" t="s">
        <v>78</v>
      </c>
      <c r="BA23" s="138" t="s">
        <v>78</v>
      </c>
      <c r="BB23" s="138" t="s">
        <v>78</v>
      </c>
      <c r="BC23" s="69" t="s">
        <v>78</v>
      </c>
      <c r="BD23" s="69" t="s">
        <v>78</v>
      </c>
      <c r="BE23" s="138" t="s">
        <v>78</v>
      </c>
      <c r="BF23" s="138" t="s">
        <v>78</v>
      </c>
      <c r="BG23" s="138" t="s">
        <v>78</v>
      </c>
      <c r="BH23" s="138" t="s">
        <v>78</v>
      </c>
      <c r="BI23" s="138" t="s">
        <v>78</v>
      </c>
      <c r="BJ23" s="138" t="s">
        <v>78</v>
      </c>
      <c r="BK23" s="69" t="s">
        <v>78</v>
      </c>
      <c r="BL23" s="69" t="s">
        <v>78</v>
      </c>
      <c r="BM23" s="138" t="s">
        <v>78</v>
      </c>
      <c r="BN23" s="138" t="s">
        <v>78</v>
      </c>
      <c r="BO23" s="138" t="s">
        <v>78</v>
      </c>
      <c r="BP23" s="138" t="s">
        <v>78</v>
      </c>
      <c r="BQ23" s="138" t="s">
        <v>78</v>
      </c>
      <c r="BR23" s="138" t="s">
        <v>78</v>
      </c>
      <c r="BS23" s="138" t="s">
        <v>78</v>
      </c>
      <c r="BT23" s="138" t="s">
        <v>78</v>
      </c>
      <c r="BU23" s="138" t="s">
        <v>78</v>
      </c>
      <c r="BV23" s="138" t="s">
        <v>78</v>
      </c>
      <c r="BW23" s="138" t="s">
        <v>78</v>
      </c>
      <c r="BX23" s="137">
        <v>5.1999999999999998E-2</v>
      </c>
      <c r="BY23" s="138" t="s">
        <v>78</v>
      </c>
      <c r="BZ23" s="138" t="s">
        <v>78</v>
      </c>
      <c r="CA23" s="138" t="s">
        <v>467</v>
      </c>
      <c r="CB23" s="138" t="s">
        <v>78</v>
      </c>
      <c r="CC23" s="138" t="s">
        <v>78</v>
      </c>
      <c r="CD23" s="138" t="s">
        <v>78</v>
      </c>
      <c r="CE23" s="69" t="s">
        <v>78</v>
      </c>
      <c r="CF23" s="138" t="s">
        <v>78</v>
      </c>
      <c r="CG23" s="138" t="s">
        <v>78</v>
      </c>
      <c r="CH23" s="138" t="s">
        <v>78</v>
      </c>
      <c r="CI23" s="138" t="s">
        <v>78</v>
      </c>
      <c r="CJ23" s="69" t="s">
        <v>78</v>
      </c>
      <c r="CK23" s="138" t="s">
        <v>78</v>
      </c>
      <c r="CL23" s="138" t="s">
        <v>78</v>
      </c>
      <c r="CM23" s="138" t="s">
        <v>78</v>
      </c>
      <c r="CN23" s="138" t="s">
        <v>78</v>
      </c>
      <c r="CO23" s="138" t="s">
        <v>78</v>
      </c>
      <c r="CP23" s="138" t="s">
        <v>78</v>
      </c>
      <c r="CQ23" s="138" t="s">
        <v>78</v>
      </c>
      <c r="CR23" s="138" t="s">
        <v>78</v>
      </c>
      <c r="CS23" s="69" t="s">
        <v>78</v>
      </c>
      <c r="CT23" s="69" t="s">
        <v>78</v>
      </c>
      <c r="CU23" s="17" t="s">
        <v>78</v>
      </c>
      <c r="CV23" s="69" t="s">
        <v>78</v>
      </c>
      <c r="CW23" s="138" t="s">
        <v>78</v>
      </c>
      <c r="CX23" s="138" t="s">
        <v>78</v>
      </c>
      <c r="CY23" s="69" t="s">
        <v>78</v>
      </c>
      <c r="CZ23" s="69" t="s">
        <v>78</v>
      </c>
      <c r="DA23" s="138" t="s">
        <v>78</v>
      </c>
      <c r="DB23" s="138" t="s">
        <v>78</v>
      </c>
      <c r="DC23" s="138" t="s">
        <v>78</v>
      </c>
      <c r="DD23" s="138" t="s">
        <v>78</v>
      </c>
      <c r="DE23" s="138" t="s">
        <v>78</v>
      </c>
      <c r="DF23" s="137" t="s">
        <v>78</v>
      </c>
      <c r="DG23" s="137" t="s">
        <v>78</v>
      </c>
      <c r="DH23" s="98" t="s">
        <v>78</v>
      </c>
      <c r="DI23" s="98">
        <v>4.5999999999999999E-2</v>
      </c>
      <c r="DJ23" s="137" t="s">
        <v>78</v>
      </c>
      <c r="DK23" s="137" t="s">
        <v>78</v>
      </c>
      <c r="DL23" s="137" t="s">
        <v>78</v>
      </c>
      <c r="DM23" s="137" t="s">
        <v>78</v>
      </c>
      <c r="DN23" s="137" t="s">
        <v>78</v>
      </c>
      <c r="DO23" s="137" t="s">
        <v>78</v>
      </c>
      <c r="DP23" s="316" t="s">
        <v>78</v>
      </c>
      <c r="DQ23" s="45"/>
    </row>
    <row r="24" spans="2:121" ht="16.5" x14ac:dyDescent="0.35">
      <c r="B24" s="128"/>
      <c r="C24" s="34"/>
      <c r="D24" s="41">
        <v>30600818</v>
      </c>
      <c r="E24" s="141" t="s">
        <v>60</v>
      </c>
      <c r="F24" s="54" t="s">
        <v>147</v>
      </c>
      <c r="G24" s="165" t="s">
        <v>183</v>
      </c>
      <c r="H24" s="536" t="s">
        <v>78</v>
      </c>
      <c r="I24" s="69" t="s">
        <v>78</v>
      </c>
      <c r="J24" s="69" t="s">
        <v>78</v>
      </c>
      <c r="K24" s="138" t="s">
        <v>78</v>
      </c>
      <c r="L24" s="69" t="s">
        <v>78</v>
      </c>
      <c r="M24" s="138" t="s">
        <v>78</v>
      </c>
      <c r="N24" s="138" t="s">
        <v>78</v>
      </c>
      <c r="O24" s="138" t="s">
        <v>78</v>
      </c>
      <c r="P24" s="69" t="s">
        <v>78</v>
      </c>
      <c r="Q24" s="69" t="s">
        <v>78</v>
      </c>
      <c r="R24" s="138" t="s">
        <v>78</v>
      </c>
      <c r="S24" s="138" t="s">
        <v>78</v>
      </c>
      <c r="T24" s="17" t="s">
        <v>78</v>
      </c>
      <c r="U24" s="138" t="s">
        <v>78</v>
      </c>
      <c r="V24" s="69" t="s">
        <v>78</v>
      </c>
      <c r="W24" s="138" t="s">
        <v>78</v>
      </c>
      <c r="X24" s="69" t="s">
        <v>78</v>
      </c>
      <c r="Y24" s="138" t="s">
        <v>78</v>
      </c>
      <c r="Z24" s="138" t="s">
        <v>78</v>
      </c>
      <c r="AA24" s="138" t="s">
        <v>78</v>
      </c>
      <c r="AB24" s="138" t="s">
        <v>78</v>
      </c>
      <c r="AC24" s="77" t="s">
        <v>78</v>
      </c>
      <c r="AD24" s="151" t="s">
        <v>78</v>
      </c>
      <c r="AE24" s="69" t="s">
        <v>78</v>
      </c>
      <c r="AF24" s="138" t="s">
        <v>78</v>
      </c>
      <c r="AG24" s="69" t="s">
        <v>78</v>
      </c>
      <c r="AH24" s="138" t="s">
        <v>78</v>
      </c>
      <c r="AI24" s="138" t="s">
        <v>78</v>
      </c>
      <c r="AJ24" s="138" t="s">
        <v>78</v>
      </c>
      <c r="AK24" s="69" t="s">
        <v>78</v>
      </c>
      <c r="AL24" s="138" t="s">
        <v>78</v>
      </c>
      <c r="AM24" s="137">
        <v>1E-3</v>
      </c>
      <c r="AN24" s="138" t="s">
        <v>78</v>
      </c>
      <c r="AO24" s="138" t="s">
        <v>78</v>
      </c>
      <c r="AP24" s="69" t="s">
        <v>78</v>
      </c>
      <c r="AQ24" s="69" t="s">
        <v>78</v>
      </c>
      <c r="AR24" s="138" t="s">
        <v>78</v>
      </c>
      <c r="AS24" s="138" t="s">
        <v>78</v>
      </c>
      <c r="AT24" s="138" t="s">
        <v>78</v>
      </c>
      <c r="AU24" s="138" t="s">
        <v>78</v>
      </c>
      <c r="AV24" s="138" t="s">
        <v>78</v>
      </c>
      <c r="AW24" s="138" t="s">
        <v>78</v>
      </c>
      <c r="AX24" s="138" t="s">
        <v>78</v>
      </c>
      <c r="AY24" s="138" t="s">
        <v>78</v>
      </c>
      <c r="AZ24" s="69" t="s">
        <v>78</v>
      </c>
      <c r="BA24" s="138" t="s">
        <v>78</v>
      </c>
      <c r="BB24" s="138" t="s">
        <v>78</v>
      </c>
      <c r="BC24" s="69" t="s">
        <v>78</v>
      </c>
      <c r="BD24" s="69" t="s">
        <v>78</v>
      </c>
      <c r="BE24" s="138" t="s">
        <v>78</v>
      </c>
      <c r="BF24" s="138" t="s">
        <v>78</v>
      </c>
      <c r="BG24" s="138" t="s">
        <v>78</v>
      </c>
      <c r="BH24" s="138" t="s">
        <v>78</v>
      </c>
      <c r="BI24" s="138" t="s">
        <v>78</v>
      </c>
      <c r="BJ24" s="138" t="s">
        <v>78</v>
      </c>
      <c r="BK24" s="69" t="s">
        <v>78</v>
      </c>
      <c r="BL24" s="69" t="s">
        <v>78</v>
      </c>
      <c r="BM24" s="138" t="s">
        <v>78</v>
      </c>
      <c r="BN24" s="138" t="s">
        <v>78</v>
      </c>
      <c r="BO24" s="138" t="s">
        <v>78</v>
      </c>
      <c r="BP24" s="138" t="s">
        <v>78</v>
      </c>
      <c r="BQ24" s="138" t="s">
        <v>78</v>
      </c>
      <c r="BR24" s="138" t="s">
        <v>78</v>
      </c>
      <c r="BS24" s="138" t="s">
        <v>78</v>
      </c>
      <c r="BT24" s="138" t="s">
        <v>78</v>
      </c>
      <c r="BU24" s="138" t="s">
        <v>78</v>
      </c>
      <c r="BV24" s="138" t="s">
        <v>78</v>
      </c>
      <c r="BW24" s="138" t="s">
        <v>78</v>
      </c>
      <c r="BX24" s="137">
        <v>9.9000000000000005E-2</v>
      </c>
      <c r="BY24" s="138" t="s">
        <v>78</v>
      </c>
      <c r="BZ24" s="138" t="s">
        <v>78</v>
      </c>
      <c r="CA24" s="138" t="s">
        <v>467</v>
      </c>
      <c r="CB24" s="138" t="s">
        <v>78</v>
      </c>
      <c r="CC24" s="138" t="s">
        <v>78</v>
      </c>
      <c r="CD24" s="138" t="s">
        <v>78</v>
      </c>
      <c r="CE24" s="69" t="s">
        <v>78</v>
      </c>
      <c r="CF24" s="138" t="s">
        <v>78</v>
      </c>
      <c r="CG24" s="138" t="s">
        <v>78</v>
      </c>
      <c r="CH24" s="138" t="s">
        <v>78</v>
      </c>
      <c r="CI24" s="138" t="s">
        <v>78</v>
      </c>
      <c r="CJ24" s="69" t="s">
        <v>78</v>
      </c>
      <c r="CK24" s="138" t="s">
        <v>78</v>
      </c>
      <c r="CL24" s="138" t="s">
        <v>78</v>
      </c>
      <c r="CM24" s="138" t="s">
        <v>78</v>
      </c>
      <c r="CN24" s="138" t="s">
        <v>78</v>
      </c>
      <c r="CO24" s="138" t="s">
        <v>78</v>
      </c>
      <c r="CP24" s="138" t="s">
        <v>78</v>
      </c>
      <c r="CQ24" s="138" t="s">
        <v>78</v>
      </c>
      <c r="CR24" s="138" t="s">
        <v>78</v>
      </c>
      <c r="CS24" s="69" t="s">
        <v>78</v>
      </c>
      <c r="CT24" s="69" t="s">
        <v>78</v>
      </c>
      <c r="CU24" s="17" t="s">
        <v>78</v>
      </c>
      <c r="CV24" s="69" t="s">
        <v>78</v>
      </c>
      <c r="CW24" s="138" t="s">
        <v>78</v>
      </c>
      <c r="CX24" s="138" t="s">
        <v>78</v>
      </c>
      <c r="CY24" s="69" t="s">
        <v>78</v>
      </c>
      <c r="CZ24" s="69" t="s">
        <v>78</v>
      </c>
      <c r="DA24" s="138" t="s">
        <v>78</v>
      </c>
      <c r="DB24" s="138" t="s">
        <v>78</v>
      </c>
      <c r="DC24" s="138" t="s">
        <v>78</v>
      </c>
      <c r="DD24" s="138" t="s">
        <v>78</v>
      </c>
      <c r="DE24" s="138" t="s">
        <v>78</v>
      </c>
      <c r="DF24" s="137" t="s">
        <v>78</v>
      </c>
      <c r="DG24" s="137" t="s">
        <v>78</v>
      </c>
      <c r="DH24" s="98" t="s">
        <v>78</v>
      </c>
      <c r="DI24" s="98">
        <v>8.6999999999999994E-2</v>
      </c>
      <c r="DJ24" s="137" t="s">
        <v>78</v>
      </c>
      <c r="DK24" s="137" t="s">
        <v>78</v>
      </c>
      <c r="DL24" s="137" t="s">
        <v>78</v>
      </c>
      <c r="DM24" s="137" t="s">
        <v>78</v>
      </c>
      <c r="DN24" s="137" t="s">
        <v>78</v>
      </c>
      <c r="DO24" s="137" t="s">
        <v>78</v>
      </c>
      <c r="DP24" s="316" t="s">
        <v>78</v>
      </c>
      <c r="DQ24" s="45"/>
    </row>
    <row r="25" spans="2:121" ht="16.5" x14ac:dyDescent="0.35">
      <c r="B25" s="128"/>
      <c r="C25" s="34"/>
      <c r="D25" s="41">
        <v>31000126</v>
      </c>
      <c r="E25" s="141" t="s">
        <v>128</v>
      </c>
      <c r="F25" s="54" t="s">
        <v>147</v>
      </c>
      <c r="G25" s="165" t="s">
        <v>183</v>
      </c>
      <c r="H25" s="536" t="s">
        <v>78</v>
      </c>
      <c r="I25" s="69" t="s">
        <v>78</v>
      </c>
      <c r="J25" s="69" t="s">
        <v>78</v>
      </c>
      <c r="K25" s="138" t="s">
        <v>78</v>
      </c>
      <c r="L25" s="69" t="s">
        <v>78</v>
      </c>
      <c r="M25" s="138" t="s">
        <v>78</v>
      </c>
      <c r="N25" s="138" t="s">
        <v>78</v>
      </c>
      <c r="O25" s="138" t="s">
        <v>78</v>
      </c>
      <c r="P25" s="69" t="s">
        <v>78</v>
      </c>
      <c r="Q25" s="69" t="s">
        <v>78</v>
      </c>
      <c r="R25" s="138" t="s">
        <v>78</v>
      </c>
      <c r="S25" s="138" t="s">
        <v>78</v>
      </c>
      <c r="T25" s="17" t="s">
        <v>78</v>
      </c>
      <c r="U25" s="138" t="s">
        <v>78</v>
      </c>
      <c r="V25" s="69" t="s">
        <v>78</v>
      </c>
      <c r="W25" s="138" t="s">
        <v>78</v>
      </c>
      <c r="X25" s="69" t="s">
        <v>78</v>
      </c>
      <c r="Y25" s="138" t="s">
        <v>78</v>
      </c>
      <c r="Z25" s="138" t="s">
        <v>78</v>
      </c>
      <c r="AA25" s="138" t="s">
        <v>78</v>
      </c>
      <c r="AB25" s="138" t="s">
        <v>78</v>
      </c>
      <c r="AC25" s="77" t="s">
        <v>78</v>
      </c>
      <c r="AD25" s="151" t="s">
        <v>78</v>
      </c>
      <c r="AE25" s="69" t="s">
        <v>78</v>
      </c>
      <c r="AF25" s="138" t="s">
        <v>78</v>
      </c>
      <c r="AG25" s="69" t="s">
        <v>78</v>
      </c>
      <c r="AH25" s="138" t="s">
        <v>78</v>
      </c>
      <c r="AI25" s="138" t="s">
        <v>78</v>
      </c>
      <c r="AJ25" s="138" t="s">
        <v>78</v>
      </c>
      <c r="AK25" s="69" t="s">
        <v>78</v>
      </c>
      <c r="AL25" s="138" t="s">
        <v>78</v>
      </c>
      <c r="AM25" s="137">
        <v>1E-3</v>
      </c>
      <c r="AN25" s="138" t="s">
        <v>78</v>
      </c>
      <c r="AO25" s="138" t="s">
        <v>78</v>
      </c>
      <c r="AP25" s="69" t="s">
        <v>78</v>
      </c>
      <c r="AQ25" s="69" t="s">
        <v>78</v>
      </c>
      <c r="AR25" s="138" t="s">
        <v>78</v>
      </c>
      <c r="AS25" s="138" t="s">
        <v>78</v>
      </c>
      <c r="AT25" s="138" t="s">
        <v>78</v>
      </c>
      <c r="AU25" s="138" t="s">
        <v>78</v>
      </c>
      <c r="AV25" s="138" t="s">
        <v>78</v>
      </c>
      <c r="AW25" s="138" t="s">
        <v>78</v>
      </c>
      <c r="AX25" s="138" t="s">
        <v>78</v>
      </c>
      <c r="AY25" s="138" t="s">
        <v>78</v>
      </c>
      <c r="AZ25" s="69" t="s">
        <v>78</v>
      </c>
      <c r="BA25" s="138" t="s">
        <v>78</v>
      </c>
      <c r="BB25" s="138" t="s">
        <v>78</v>
      </c>
      <c r="BC25" s="69" t="s">
        <v>78</v>
      </c>
      <c r="BD25" s="69" t="s">
        <v>78</v>
      </c>
      <c r="BE25" s="138" t="s">
        <v>78</v>
      </c>
      <c r="BF25" s="138" t="s">
        <v>78</v>
      </c>
      <c r="BG25" s="138" t="s">
        <v>78</v>
      </c>
      <c r="BH25" s="138" t="s">
        <v>78</v>
      </c>
      <c r="BI25" s="138" t="s">
        <v>78</v>
      </c>
      <c r="BJ25" s="138" t="s">
        <v>78</v>
      </c>
      <c r="BK25" s="69" t="s">
        <v>78</v>
      </c>
      <c r="BL25" s="69" t="s">
        <v>78</v>
      </c>
      <c r="BM25" s="138" t="s">
        <v>78</v>
      </c>
      <c r="BN25" s="138" t="s">
        <v>78</v>
      </c>
      <c r="BO25" s="138" t="s">
        <v>78</v>
      </c>
      <c r="BP25" s="138" t="s">
        <v>78</v>
      </c>
      <c r="BQ25" s="138" t="s">
        <v>78</v>
      </c>
      <c r="BR25" s="138" t="s">
        <v>78</v>
      </c>
      <c r="BS25" s="138" t="s">
        <v>78</v>
      </c>
      <c r="BT25" s="138" t="s">
        <v>78</v>
      </c>
      <c r="BU25" s="138" t="s">
        <v>78</v>
      </c>
      <c r="BV25" s="138" t="s">
        <v>78</v>
      </c>
      <c r="BW25" s="138" t="s">
        <v>78</v>
      </c>
      <c r="BX25" s="137">
        <v>9.9000000000000005E-2</v>
      </c>
      <c r="BY25" s="138" t="s">
        <v>78</v>
      </c>
      <c r="BZ25" s="138" t="s">
        <v>78</v>
      </c>
      <c r="CA25" s="138" t="s">
        <v>467</v>
      </c>
      <c r="CB25" s="138" t="s">
        <v>78</v>
      </c>
      <c r="CC25" s="138" t="s">
        <v>78</v>
      </c>
      <c r="CD25" s="138" t="s">
        <v>78</v>
      </c>
      <c r="CE25" s="69" t="s">
        <v>78</v>
      </c>
      <c r="CF25" s="138" t="s">
        <v>78</v>
      </c>
      <c r="CG25" s="138" t="s">
        <v>78</v>
      </c>
      <c r="CH25" s="138" t="s">
        <v>78</v>
      </c>
      <c r="CI25" s="138" t="s">
        <v>78</v>
      </c>
      <c r="CJ25" s="69" t="s">
        <v>78</v>
      </c>
      <c r="CK25" s="138" t="s">
        <v>78</v>
      </c>
      <c r="CL25" s="138" t="s">
        <v>78</v>
      </c>
      <c r="CM25" s="138" t="s">
        <v>78</v>
      </c>
      <c r="CN25" s="138" t="s">
        <v>78</v>
      </c>
      <c r="CO25" s="138" t="s">
        <v>78</v>
      </c>
      <c r="CP25" s="138" t="s">
        <v>78</v>
      </c>
      <c r="CQ25" s="138" t="s">
        <v>78</v>
      </c>
      <c r="CR25" s="138" t="s">
        <v>78</v>
      </c>
      <c r="CS25" s="69" t="s">
        <v>78</v>
      </c>
      <c r="CT25" s="69" t="s">
        <v>78</v>
      </c>
      <c r="CU25" s="17" t="s">
        <v>78</v>
      </c>
      <c r="CV25" s="69" t="s">
        <v>78</v>
      </c>
      <c r="CW25" s="138" t="s">
        <v>78</v>
      </c>
      <c r="CX25" s="138" t="s">
        <v>78</v>
      </c>
      <c r="CY25" s="69" t="s">
        <v>78</v>
      </c>
      <c r="CZ25" s="69" t="s">
        <v>78</v>
      </c>
      <c r="DA25" s="138" t="s">
        <v>78</v>
      </c>
      <c r="DB25" s="138" t="s">
        <v>78</v>
      </c>
      <c r="DC25" s="138" t="s">
        <v>78</v>
      </c>
      <c r="DD25" s="138" t="s">
        <v>78</v>
      </c>
      <c r="DE25" s="138" t="s">
        <v>78</v>
      </c>
      <c r="DF25" s="137" t="s">
        <v>78</v>
      </c>
      <c r="DG25" s="137" t="s">
        <v>78</v>
      </c>
      <c r="DH25" s="98" t="s">
        <v>78</v>
      </c>
      <c r="DI25" s="98">
        <v>8.6999999999999994E-2</v>
      </c>
      <c r="DJ25" s="137" t="s">
        <v>78</v>
      </c>
      <c r="DK25" s="137" t="s">
        <v>78</v>
      </c>
      <c r="DL25" s="137" t="s">
        <v>78</v>
      </c>
      <c r="DM25" s="137" t="s">
        <v>78</v>
      </c>
      <c r="DN25" s="137" t="s">
        <v>78</v>
      </c>
      <c r="DO25" s="137" t="s">
        <v>78</v>
      </c>
      <c r="DP25" s="316" t="s">
        <v>78</v>
      </c>
      <c r="DQ25" s="45"/>
    </row>
    <row r="26" spans="2:121" ht="16.5" x14ac:dyDescent="0.35">
      <c r="B26" s="162"/>
      <c r="C26" s="292"/>
      <c r="D26" s="41">
        <v>31000224</v>
      </c>
      <c r="E26" s="141" t="s">
        <v>130</v>
      </c>
      <c r="F26" s="54" t="s">
        <v>134</v>
      </c>
      <c r="G26" s="165" t="s">
        <v>183</v>
      </c>
      <c r="H26" s="536" t="s">
        <v>78</v>
      </c>
      <c r="I26" s="69" t="s">
        <v>78</v>
      </c>
      <c r="J26" s="69" t="s">
        <v>78</v>
      </c>
      <c r="K26" s="138" t="s">
        <v>78</v>
      </c>
      <c r="L26" s="69" t="s">
        <v>78</v>
      </c>
      <c r="M26" s="138" t="s">
        <v>78</v>
      </c>
      <c r="N26" s="138" t="s">
        <v>78</v>
      </c>
      <c r="O26" s="138" t="s">
        <v>78</v>
      </c>
      <c r="P26" s="69" t="s">
        <v>78</v>
      </c>
      <c r="Q26" s="69" t="s">
        <v>78</v>
      </c>
      <c r="R26" s="138" t="s">
        <v>78</v>
      </c>
      <c r="S26" s="138" t="s">
        <v>78</v>
      </c>
      <c r="T26" s="17" t="s">
        <v>78</v>
      </c>
      <c r="U26" s="138" t="s">
        <v>78</v>
      </c>
      <c r="V26" s="69" t="s">
        <v>78</v>
      </c>
      <c r="W26" s="138" t="s">
        <v>78</v>
      </c>
      <c r="X26" s="69" t="s">
        <v>78</v>
      </c>
      <c r="Y26" s="138" t="s">
        <v>78</v>
      </c>
      <c r="Z26" s="138" t="s">
        <v>78</v>
      </c>
      <c r="AA26" s="138" t="s">
        <v>78</v>
      </c>
      <c r="AB26" s="138" t="s">
        <v>78</v>
      </c>
      <c r="AC26" s="77" t="s">
        <v>78</v>
      </c>
      <c r="AD26" s="151" t="s">
        <v>78</v>
      </c>
      <c r="AE26" s="69" t="s">
        <v>78</v>
      </c>
      <c r="AF26" s="138" t="s">
        <v>78</v>
      </c>
      <c r="AG26" s="69" t="s">
        <v>78</v>
      </c>
      <c r="AH26" s="138" t="s">
        <v>78</v>
      </c>
      <c r="AI26" s="138" t="s">
        <v>78</v>
      </c>
      <c r="AJ26" s="138" t="s">
        <v>78</v>
      </c>
      <c r="AK26" s="69" t="s">
        <v>78</v>
      </c>
      <c r="AL26" s="138" t="s">
        <v>78</v>
      </c>
      <c r="AM26" s="137">
        <v>1E-3</v>
      </c>
      <c r="AN26" s="138" t="s">
        <v>78</v>
      </c>
      <c r="AO26" s="138" t="s">
        <v>78</v>
      </c>
      <c r="AP26" s="69" t="s">
        <v>78</v>
      </c>
      <c r="AQ26" s="69" t="s">
        <v>78</v>
      </c>
      <c r="AR26" s="138" t="s">
        <v>78</v>
      </c>
      <c r="AS26" s="138" t="s">
        <v>78</v>
      </c>
      <c r="AT26" s="138" t="s">
        <v>78</v>
      </c>
      <c r="AU26" s="138" t="s">
        <v>78</v>
      </c>
      <c r="AV26" s="138" t="s">
        <v>78</v>
      </c>
      <c r="AW26" s="138" t="s">
        <v>78</v>
      </c>
      <c r="AX26" s="138" t="s">
        <v>78</v>
      </c>
      <c r="AY26" s="138" t="s">
        <v>78</v>
      </c>
      <c r="AZ26" s="69" t="s">
        <v>78</v>
      </c>
      <c r="BA26" s="138" t="s">
        <v>78</v>
      </c>
      <c r="BB26" s="138" t="s">
        <v>78</v>
      </c>
      <c r="BC26" s="69" t="s">
        <v>78</v>
      </c>
      <c r="BD26" s="69" t="s">
        <v>78</v>
      </c>
      <c r="BE26" s="138" t="s">
        <v>78</v>
      </c>
      <c r="BF26" s="138" t="s">
        <v>78</v>
      </c>
      <c r="BG26" s="138" t="s">
        <v>78</v>
      </c>
      <c r="BH26" s="138" t="s">
        <v>78</v>
      </c>
      <c r="BI26" s="138" t="s">
        <v>78</v>
      </c>
      <c r="BJ26" s="138" t="s">
        <v>78</v>
      </c>
      <c r="BK26" s="69" t="s">
        <v>78</v>
      </c>
      <c r="BL26" s="69" t="s">
        <v>78</v>
      </c>
      <c r="BM26" s="138" t="s">
        <v>78</v>
      </c>
      <c r="BN26" s="138" t="s">
        <v>78</v>
      </c>
      <c r="BO26" s="138" t="s">
        <v>78</v>
      </c>
      <c r="BP26" s="138" t="s">
        <v>78</v>
      </c>
      <c r="BQ26" s="138" t="s">
        <v>78</v>
      </c>
      <c r="BR26" s="138" t="s">
        <v>78</v>
      </c>
      <c r="BS26" s="138" t="s">
        <v>78</v>
      </c>
      <c r="BT26" s="138" t="s">
        <v>78</v>
      </c>
      <c r="BU26" s="138" t="s">
        <v>78</v>
      </c>
      <c r="BV26" s="138" t="s">
        <v>78</v>
      </c>
      <c r="BW26" s="138" t="s">
        <v>78</v>
      </c>
      <c r="BX26" s="137">
        <v>5.1999999999999998E-2</v>
      </c>
      <c r="BY26" s="138" t="s">
        <v>78</v>
      </c>
      <c r="BZ26" s="138" t="s">
        <v>78</v>
      </c>
      <c r="CA26" s="138" t="s">
        <v>467</v>
      </c>
      <c r="CB26" s="138" t="s">
        <v>78</v>
      </c>
      <c r="CC26" s="138" t="s">
        <v>78</v>
      </c>
      <c r="CD26" s="138" t="s">
        <v>78</v>
      </c>
      <c r="CE26" s="69" t="s">
        <v>78</v>
      </c>
      <c r="CF26" s="138" t="s">
        <v>78</v>
      </c>
      <c r="CG26" s="138" t="s">
        <v>78</v>
      </c>
      <c r="CH26" s="138" t="s">
        <v>78</v>
      </c>
      <c r="CI26" s="138" t="s">
        <v>78</v>
      </c>
      <c r="CJ26" s="69" t="s">
        <v>78</v>
      </c>
      <c r="CK26" s="138" t="s">
        <v>78</v>
      </c>
      <c r="CL26" s="138" t="s">
        <v>78</v>
      </c>
      <c r="CM26" s="138" t="s">
        <v>78</v>
      </c>
      <c r="CN26" s="138" t="s">
        <v>78</v>
      </c>
      <c r="CO26" s="138" t="s">
        <v>78</v>
      </c>
      <c r="CP26" s="138" t="s">
        <v>78</v>
      </c>
      <c r="CQ26" s="138" t="s">
        <v>78</v>
      </c>
      <c r="CR26" s="138" t="s">
        <v>78</v>
      </c>
      <c r="CS26" s="69" t="s">
        <v>78</v>
      </c>
      <c r="CT26" s="69" t="s">
        <v>78</v>
      </c>
      <c r="CU26" s="17" t="s">
        <v>78</v>
      </c>
      <c r="CV26" s="69" t="s">
        <v>78</v>
      </c>
      <c r="CW26" s="138" t="s">
        <v>78</v>
      </c>
      <c r="CX26" s="138" t="s">
        <v>78</v>
      </c>
      <c r="CY26" s="69" t="s">
        <v>78</v>
      </c>
      <c r="CZ26" s="69" t="s">
        <v>78</v>
      </c>
      <c r="DA26" s="138" t="s">
        <v>78</v>
      </c>
      <c r="DB26" s="138" t="s">
        <v>78</v>
      </c>
      <c r="DC26" s="138" t="s">
        <v>78</v>
      </c>
      <c r="DD26" s="138" t="s">
        <v>78</v>
      </c>
      <c r="DE26" s="138" t="s">
        <v>78</v>
      </c>
      <c r="DF26" s="137" t="s">
        <v>78</v>
      </c>
      <c r="DG26" s="137" t="s">
        <v>78</v>
      </c>
      <c r="DH26" s="98" t="s">
        <v>78</v>
      </c>
      <c r="DI26" s="98">
        <v>4.5999999999999999E-2</v>
      </c>
      <c r="DJ26" s="137" t="s">
        <v>78</v>
      </c>
      <c r="DK26" s="137" t="s">
        <v>78</v>
      </c>
      <c r="DL26" s="137" t="s">
        <v>78</v>
      </c>
      <c r="DM26" s="137" t="s">
        <v>78</v>
      </c>
      <c r="DN26" s="137" t="s">
        <v>78</v>
      </c>
      <c r="DO26" s="137" t="s">
        <v>78</v>
      </c>
      <c r="DP26" s="316" t="s">
        <v>78</v>
      </c>
      <c r="DQ26" s="45"/>
    </row>
    <row r="27" spans="2:121" ht="16.5" x14ac:dyDescent="0.35">
      <c r="B27" s="128"/>
      <c r="C27" s="34"/>
      <c r="D27" s="41">
        <v>30600822</v>
      </c>
      <c r="E27" s="141" t="s">
        <v>62</v>
      </c>
      <c r="F27" s="54" t="s">
        <v>147</v>
      </c>
      <c r="G27" s="165" t="s">
        <v>183</v>
      </c>
      <c r="H27" s="536" t="s">
        <v>78</v>
      </c>
      <c r="I27" s="69" t="s">
        <v>78</v>
      </c>
      <c r="J27" s="69" t="s">
        <v>78</v>
      </c>
      <c r="K27" s="138" t="s">
        <v>78</v>
      </c>
      <c r="L27" s="69" t="s">
        <v>78</v>
      </c>
      <c r="M27" s="138" t="s">
        <v>78</v>
      </c>
      <c r="N27" s="138" t="s">
        <v>78</v>
      </c>
      <c r="O27" s="138" t="s">
        <v>78</v>
      </c>
      <c r="P27" s="69" t="s">
        <v>78</v>
      </c>
      <c r="Q27" s="69" t="s">
        <v>78</v>
      </c>
      <c r="R27" s="138" t="s">
        <v>78</v>
      </c>
      <c r="S27" s="138" t="s">
        <v>78</v>
      </c>
      <c r="T27" s="17" t="s">
        <v>78</v>
      </c>
      <c r="U27" s="138" t="s">
        <v>78</v>
      </c>
      <c r="V27" s="69" t="s">
        <v>78</v>
      </c>
      <c r="W27" s="138" t="s">
        <v>78</v>
      </c>
      <c r="X27" s="69" t="s">
        <v>78</v>
      </c>
      <c r="Y27" s="138" t="s">
        <v>78</v>
      </c>
      <c r="Z27" s="138" t="s">
        <v>78</v>
      </c>
      <c r="AA27" s="138" t="s">
        <v>78</v>
      </c>
      <c r="AB27" s="138" t="s">
        <v>78</v>
      </c>
      <c r="AC27" s="77" t="s">
        <v>78</v>
      </c>
      <c r="AD27" s="151" t="s">
        <v>78</v>
      </c>
      <c r="AE27" s="69" t="s">
        <v>78</v>
      </c>
      <c r="AF27" s="138" t="s">
        <v>78</v>
      </c>
      <c r="AG27" s="69" t="s">
        <v>78</v>
      </c>
      <c r="AH27" s="138" t="s">
        <v>78</v>
      </c>
      <c r="AI27" s="138" t="s">
        <v>78</v>
      </c>
      <c r="AJ27" s="138" t="s">
        <v>78</v>
      </c>
      <c r="AK27" s="69" t="s">
        <v>78</v>
      </c>
      <c r="AL27" s="138" t="s">
        <v>78</v>
      </c>
      <c r="AM27" s="137">
        <v>1E-3</v>
      </c>
      <c r="AN27" s="138" t="s">
        <v>78</v>
      </c>
      <c r="AO27" s="138" t="s">
        <v>78</v>
      </c>
      <c r="AP27" s="69" t="s">
        <v>78</v>
      </c>
      <c r="AQ27" s="69" t="s">
        <v>78</v>
      </c>
      <c r="AR27" s="138" t="s">
        <v>78</v>
      </c>
      <c r="AS27" s="138" t="s">
        <v>78</v>
      </c>
      <c r="AT27" s="138" t="s">
        <v>78</v>
      </c>
      <c r="AU27" s="138" t="s">
        <v>78</v>
      </c>
      <c r="AV27" s="138" t="s">
        <v>78</v>
      </c>
      <c r="AW27" s="138" t="s">
        <v>78</v>
      </c>
      <c r="AX27" s="138" t="s">
        <v>78</v>
      </c>
      <c r="AY27" s="138" t="s">
        <v>78</v>
      </c>
      <c r="AZ27" s="69" t="s">
        <v>78</v>
      </c>
      <c r="BA27" s="138" t="s">
        <v>78</v>
      </c>
      <c r="BB27" s="138" t="s">
        <v>78</v>
      </c>
      <c r="BC27" s="69" t="s">
        <v>78</v>
      </c>
      <c r="BD27" s="69" t="s">
        <v>78</v>
      </c>
      <c r="BE27" s="138" t="s">
        <v>78</v>
      </c>
      <c r="BF27" s="138" t="s">
        <v>78</v>
      </c>
      <c r="BG27" s="138" t="s">
        <v>78</v>
      </c>
      <c r="BH27" s="138" t="s">
        <v>78</v>
      </c>
      <c r="BI27" s="138" t="s">
        <v>78</v>
      </c>
      <c r="BJ27" s="138" t="s">
        <v>78</v>
      </c>
      <c r="BK27" s="69" t="s">
        <v>78</v>
      </c>
      <c r="BL27" s="69" t="s">
        <v>78</v>
      </c>
      <c r="BM27" s="138" t="s">
        <v>78</v>
      </c>
      <c r="BN27" s="138" t="s">
        <v>78</v>
      </c>
      <c r="BO27" s="138" t="s">
        <v>78</v>
      </c>
      <c r="BP27" s="138" t="s">
        <v>78</v>
      </c>
      <c r="BQ27" s="138" t="s">
        <v>78</v>
      </c>
      <c r="BR27" s="138" t="s">
        <v>78</v>
      </c>
      <c r="BS27" s="138" t="s">
        <v>78</v>
      </c>
      <c r="BT27" s="138" t="s">
        <v>78</v>
      </c>
      <c r="BU27" s="138" t="s">
        <v>78</v>
      </c>
      <c r="BV27" s="138" t="s">
        <v>78</v>
      </c>
      <c r="BW27" s="138" t="s">
        <v>78</v>
      </c>
      <c r="BX27" s="137">
        <v>9.9000000000000005E-2</v>
      </c>
      <c r="BY27" s="138" t="s">
        <v>78</v>
      </c>
      <c r="BZ27" s="138" t="s">
        <v>78</v>
      </c>
      <c r="CA27" s="138" t="s">
        <v>467</v>
      </c>
      <c r="CB27" s="138" t="s">
        <v>78</v>
      </c>
      <c r="CC27" s="138" t="s">
        <v>78</v>
      </c>
      <c r="CD27" s="138" t="s">
        <v>78</v>
      </c>
      <c r="CE27" s="69" t="s">
        <v>78</v>
      </c>
      <c r="CF27" s="138" t="s">
        <v>78</v>
      </c>
      <c r="CG27" s="138" t="s">
        <v>78</v>
      </c>
      <c r="CH27" s="138" t="s">
        <v>78</v>
      </c>
      <c r="CI27" s="138" t="s">
        <v>78</v>
      </c>
      <c r="CJ27" s="69" t="s">
        <v>78</v>
      </c>
      <c r="CK27" s="138" t="s">
        <v>78</v>
      </c>
      <c r="CL27" s="138" t="s">
        <v>78</v>
      </c>
      <c r="CM27" s="138" t="s">
        <v>78</v>
      </c>
      <c r="CN27" s="138" t="s">
        <v>78</v>
      </c>
      <c r="CO27" s="138" t="s">
        <v>78</v>
      </c>
      <c r="CP27" s="138" t="s">
        <v>78</v>
      </c>
      <c r="CQ27" s="138" t="s">
        <v>78</v>
      </c>
      <c r="CR27" s="138" t="s">
        <v>78</v>
      </c>
      <c r="CS27" s="69" t="s">
        <v>78</v>
      </c>
      <c r="CT27" s="69" t="s">
        <v>78</v>
      </c>
      <c r="CU27" s="17" t="s">
        <v>78</v>
      </c>
      <c r="CV27" s="69" t="s">
        <v>78</v>
      </c>
      <c r="CW27" s="138" t="s">
        <v>78</v>
      </c>
      <c r="CX27" s="138" t="s">
        <v>78</v>
      </c>
      <c r="CY27" s="69" t="s">
        <v>78</v>
      </c>
      <c r="CZ27" s="69" t="s">
        <v>78</v>
      </c>
      <c r="DA27" s="138" t="s">
        <v>78</v>
      </c>
      <c r="DB27" s="138" t="s">
        <v>78</v>
      </c>
      <c r="DC27" s="138" t="s">
        <v>78</v>
      </c>
      <c r="DD27" s="138" t="s">
        <v>78</v>
      </c>
      <c r="DE27" s="138" t="s">
        <v>78</v>
      </c>
      <c r="DF27" s="138" t="s">
        <v>78</v>
      </c>
      <c r="DG27" s="138" t="s">
        <v>78</v>
      </c>
      <c r="DH27" s="69" t="s">
        <v>78</v>
      </c>
      <c r="DI27" s="98">
        <v>8.6999999999999994E-2</v>
      </c>
      <c r="DJ27" s="138" t="s">
        <v>78</v>
      </c>
      <c r="DK27" s="138" t="s">
        <v>78</v>
      </c>
      <c r="DL27" s="138" t="s">
        <v>78</v>
      </c>
      <c r="DM27" s="138" t="s">
        <v>78</v>
      </c>
      <c r="DN27" s="138" t="s">
        <v>78</v>
      </c>
      <c r="DO27" s="138" t="s">
        <v>78</v>
      </c>
      <c r="DP27" s="315" t="s">
        <v>78</v>
      </c>
      <c r="DQ27" s="45"/>
    </row>
    <row r="28" spans="2:121" ht="16.5" x14ac:dyDescent="0.35">
      <c r="B28" s="128"/>
      <c r="C28" s="34"/>
      <c r="D28" s="41">
        <v>31000125</v>
      </c>
      <c r="E28" s="141" t="s">
        <v>129</v>
      </c>
      <c r="F28" s="54" t="s">
        <v>147</v>
      </c>
      <c r="G28" s="165" t="s">
        <v>183</v>
      </c>
      <c r="H28" s="536" t="s">
        <v>78</v>
      </c>
      <c r="I28" s="69" t="s">
        <v>78</v>
      </c>
      <c r="J28" s="69" t="s">
        <v>78</v>
      </c>
      <c r="K28" s="138" t="s">
        <v>78</v>
      </c>
      <c r="L28" s="69" t="s">
        <v>78</v>
      </c>
      <c r="M28" s="138" t="s">
        <v>78</v>
      </c>
      <c r="N28" s="138" t="s">
        <v>78</v>
      </c>
      <c r="O28" s="138" t="s">
        <v>78</v>
      </c>
      <c r="P28" s="69" t="s">
        <v>78</v>
      </c>
      <c r="Q28" s="69" t="s">
        <v>78</v>
      </c>
      <c r="R28" s="138" t="s">
        <v>78</v>
      </c>
      <c r="S28" s="138" t="s">
        <v>78</v>
      </c>
      <c r="T28" s="17" t="s">
        <v>78</v>
      </c>
      <c r="U28" s="138" t="s">
        <v>78</v>
      </c>
      <c r="V28" s="69" t="s">
        <v>78</v>
      </c>
      <c r="W28" s="138" t="s">
        <v>78</v>
      </c>
      <c r="X28" s="69" t="s">
        <v>78</v>
      </c>
      <c r="Y28" s="138" t="s">
        <v>78</v>
      </c>
      <c r="Z28" s="138" t="s">
        <v>78</v>
      </c>
      <c r="AA28" s="138" t="s">
        <v>78</v>
      </c>
      <c r="AB28" s="138" t="s">
        <v>78</v>
      </c>
      <c r="AC28" s="77" t="s">
        <v>78</v>
      </c>
      <c r="AD28" s="151" t="s">
        <v>78</v>
      </c>
      <c r="AE28" s="69" t="s">
        <v>78</v>
      </c>
      <c r="AF28" s="138" t="s">
        <v>78</v>
      </c>
      <c r="AG28" s="69" t="s">
        <v>78</v>
      </c>
      <c r="AH28" s="138" t="s">
        <v>78</v>
      </c>
      <c r="AI28" s="138" t="s">
        <v>78</v>
      </c>
      <c r="AJ28" s="138" t="s">
        <v>78</v>
      </c>
      <c r="AK28" s="69" t="s">
        <v>78</v>
      </c>
      <c r="AL28" s="138" t="s">
        <v>78</v>
      </c>
      <c r="AM28" s="137">
        <v>1E-3</v>
      </c>
      <c r="AN28" s="138" t="s">
        <v>78</v>
      </c>
      <c r="AO28" s="138" t="s">
        <v>78</v>
      </c>
      <c r="AP28" s="69" t="s">
        <v>78</v>
      </c>
      <c r="AQ28" s="69" t="s">
        <v>78</v>
      </c>
      <c r="AR28" s="138" t="s">
        <v>78</v>
      </c>
      <c r="AS28" s="138" t="s">
        <v>78</v>
      </c>
      <c r="AT28" s="138" t="s">
        <v>78</v>
      </c>
      <c r="AU28" s="138" t="s">
        <v>78</v>
      </c>
      <c r="AV28" s="138" t="s">
        <v>78</v>
      </c>
      <c r="AW28" s="138" t="s">
        <v>78</v>
      </c>
      <c r="AX28" s="138" t="s">
        <v>78</v>
      </c>
      <c r="AY28" s="138" t="s">
        <v>78</v>
      </c>
      <c r="AZ28" s="69" t="s">
        <v>78</v>
      </c>
      <c r="BA28" s="138" t="s">
        <v>78</v>
      </c>
      <c r="BB28" s="138" t="s">
        <v>78</v>
      </c>
      <c r="BC28" s="69" t="s">
        <v>78</v>
      </c>
      <c r="BD28" s="69" t="s">
        <v>78</v>
      </c>
      <c r="BE28" s="138" t="s">
        <v>78</v>
      </c>
      <c r="BF28" s="138" t="s">
        <v>78</v>
      </c>
      <c r="BG28" s="138" t="s">
        <v>78</v>
      </c>
      <c r="BH28" s="138" t="s">
        <v>78</v>
      </c>
      <c r="BI28" s="138" t="s">
        <v>78</v>
      </c>
      <c r="BJ28" s="138" t="s">
        <v>78</v>
      </c>
      <c r="BK28" s="69" t="s">
        <v>78</v>
      </c>
      <c r="BL28" s="69" t="s">
        <v>78</v>
      </c>
      <c r="BM28" s="138" t="s">
        <v>78</v>
      </c>
      <c r="BN28" s="138" t="s">
        <v>78</v>
      </c>
      <c r="BO28" s="138" t="s">
        <v>78</v>
      </c>
      <c r="BP28" s="138" t="s">
        <v>78</v>
      </c>
      <c r="BQ28" s="138" t="s">
        <v>78</v>
      </c>
      <c r="BR28" s="138" t="s">
        <v>78</v>
      </c>
      <c r="BS28" s="138" t="s">
        <v>78</v>
      </c>
      <c r="BT28" s="138" t="s">
        <v>78</v>
      </c>
      <c r="BU28" s="138" t="s">
        <v>78</v>
      </c>
      <c r="BV28" s="138" t="s">
        <v>78</v>
      </c>
      <c r="BW28" s="138" t="s">
        <v>78</v>
      </c>
      <c r="BX28" s="137">
        <v>9.9000000000000005E-2</v>
      </c>
      <c r="BY28" s="138" t="s">
        <v>78</v>
      </c>
      <c r="BZ28" s="138" t="s">
        <v>78</v>
      </c>
      <c r="CA28" s="138" t="s">
        <v>467</v>
      </c>
      <c r="CB28" s="138" t="s">
        <v>78</v>
      </c>
      <c r="CC28" s="138" t="s">
        <v>78</v>
      </c>
      <c r="CD28" s="138" t="s">
        <v>78</v>
      </c>
      <c r="CE28" s="69" t="s">
        <v>78</v>
      </c>
      <c r="CF28" s="138" t="s">
        <v>78</v>
      </c>
      <c r="CG28" s="138" t="s">
        <v>78</v>
      </c>
      <c r="CH28" s="138" t="s">
        <v>78</v>
      </c>
      <c r="CI28" s="138" t="s">
        <v>78</v>
      </c>
      <c r="CJ28" s="69" t="s">
        <v>78</v>
      </c>
      <c r="CK28" s="138" t="s">
        <v>78</v>
      </c>
      <c r="CL28" s="138" t="s">
        <v>78</v>
      </c>
      <c r="CM28" s="138" t="s">
        <v>78</v>
      </c>
      <c r="CN28" s="138" t="s">
        <v>78</v>
      </c>
      <c r="CO28" s="138" t="s">
        <v>78</v>
      </c>
      <c r="CP28" s="138" t="s">
        <v>78</v>
      </c>
      <c r="CQ28" s="138" t="s">
        <v>78</v>
      </c>
      <c r="CR28" s="138" t="s">
        <v>78</v>
      </c>
      <c r="CS28" s="69" t="s">
        <v>78</v>
      </c>
      <c r="CT28" s="69" t="s">
        <v>78</v>
      </c>
      <c r="CU28" s="17" t="s">
        <v>78</v>
      </c>
      <c r="CV28" s="69" t="s">
        <v>78</v>
      </c>
      <c r="CW28" s="138" t="s">
        <v>78</v>
      </c>
      <c r="CX28" s="138" t="s">
        <v>78</v>
      </c>
      <c r="CY28" s="69" t="s">
        <v>78</v>
      </c>
      <c r="CZ28" s="69" t="s">
        <v>78</v>
      </c>
      <c r="DA28" s="138" t="s">
        <v>78</v>
      </c>
      <c r="DB28" s="138" t="s">
        <v>78</v>
      </c>
      <c r="DC28" s="138" t="s">
        <v>78</v>
      </c>
      <c r="DD28" s="138" t="s">
        <v>78</v>
      </c>
      <c r="DE28" s="138" t="s">
        <v>78</v>
      </c>
      <c r="DF28" s="138" t="s">
        <v>78</v>
      </c>
      <c r="DG28" s="138" t="s">
        <v>78</v>
      </c>
      <c r="DH28" s="69" t="s">
        <v>78</v>
      </c>
      <c r="DI28" s="98">
        <v>8.6999999999999994E-2</v>
      </c>
      <c r="DJ28" s="138" t="s">
        <v>78</v>
      </c>
      <c r="DK28" s="138" t="s">
        <v>78</v>
      </c>
      <c r="DL28" s="138" t="s">
        <v>78</v>
      </c>
      <c r="DM28" s="138" t="s">
        <v>78</v>
      </c>
      <c r="DN28" s="138" t="s">
        <v>78</v>
      </c>
      <c r="DO28" s="138" t="s">
        <v>78</v>
      </c>
      <c r="DP28" s="315" t="s">
        <v>78</v>
      </c>
      <c r="DQ28" s="45"/>
    </row>
    <row r="29" spans="2:121" ht="15" thickBot="1" x14ac:dyDescent="0.4">
      <c r="B29" s="126"/>
      <c r="C29" s="282"/>
      <c r="D29" s="8"/>
      <c r="E29" s="163"/>
      <c r="F29" s="54"/>
      <c r="G29" s="28"/>
      <c r="H29" s="538"/>
      <c r="I29" s="96"/>
      <c r="J29" s="96"/>
      <c r="L29" s="96"/>
      <c r="P29" s="96"/>
      <c r="Q29" s="96"/>
      <c r="V29" s="96"/>
      <c r="X29" s="96"/>
      <c r="AC29" s="112"/>
      <c r="AD29" s="154"/>
      <c r="AE29" s="96"/>
      <c r="AG29" s="96"/>
      <c r="AK29" s="96"/>
      <c r="AP29" s="96"/>
      <c r="AQ29" s="96"/>
      <c r="AZ29" s="96"/>
      <c r="BC29" s="96"/>
      <c r="BD29" s="96"/>
      <c r="BE29"/>
      <c r="BK29" s="96"/>
      <c r="BL29" s="96"/>
      <c r="CE29" s="96"/>
      <c r="CJ29" s="96"/>
      <c r="CS29" s="96"/>
      <c r="CT29" s="96"/>
      <c r="CV29" s="96"/>
      <c r="CY29" s="96"/>
      <c r="CZ29" s="96"/>
      <c r="DH29" s="96"/>
      <c r="DI29" s="96"/>
      <c r="DJ29"/>
      <c r="DK29"/>
      <c r="DP29" s="28"/>
      <c r="DQ29" s="45"/>
    </row>
    <row r="30" spans="2:121" x14ac:dyDescent="0.35">
      <c r="B30" s="117"/>
      <c r="C30" s="280" t="s">
        <v>190</v>
      </c>
      <c r="D30" s="19"/>
      <c r="E30" s="166"/>
      <c r="F30" s="179"/>
      <c r="G30" s="148"/>
      <c r="H30" s="539"/>
      <c r="I30" s="71"/>
      <c r="J30" s="71"/>
      <c r="K30" s="147"/>
      <c r="L30" s="71"/>
      <c r="M30" s="147"/>
      <c r="N30" s="147"/>
      <c r="O30" s="147"/>
      <c r="P30" s="71"/>
      <c r="Q30" s="71"/>
      <c r="R30" s="147"/>
      <c r="S30" s="147"/>
      <c r="T30" s="19"/>
      <c r="U30" s="147"/>
      <c r="V30" s="71"/>
      <c r="W30" s="147"/>
      <c r="X30" s="71"/>
      <c r="Y30" s="147"/>
      <c r="Z30" s="147"/>
      <c r="AA30" s="147"/>
      <c r="AB30" s="147"/>
      <c r="AC30" s="76"/>
      <c r="AD30" s="150"/>
      <c r="AE30" s="71"/>
      <c r="AF30" s="147"/>
      <c r="AG30" s="71"/>
      <c r="AH30" s="147"/>
      <c r="AI30" s="147"/>
      <c r="AJ30" s="147"/>
      <c r="AK30" s="71"/>
      <c r="AL30" s="147"/>
      <c r="AM30" s="147"/>
      <c r="AN30" s="147"/>
      <c r="AO30" s="147"/>
      <c r="AP30" s="71"/>
      <c r="AQ30" s="71"/>
      <c r="AR30" s="147"/>
      <c r="AS30" s="147"/>
      <c r="AT30" s="147"/>
      <c r="AU30" s="147"/>
      <c r="AV30" s="147"/>
      <c r="AW30" s="147"/>
      <c r="AX30" s="147"/>
      <c r="AY30" s="147"/>
      <c r="AZ30" s="71"/>
      <c r="BA30" s="147"/>
      <c r="BB30" s="147"/>
      <c r="BC30" s="71"/>
      <c r="BD30" s="71"/>
      <c r="BE30" s="147"/>
      <c r="BF30" s="147"/>
      <c r="BG30" s="147"/>
      <c r="BH30" s="147"/>
      <c r="BI30" s="147"/>
      <c r="BJ30" s="147"/>
      <c r="BK30" s="71"/>
      <c r="BL30" s="71"/>
      <c r="BM30" s="147"/>
      <c r="BN30" s="147"/>
      <c r="BO30" s="147"/>
      <c r="BP30" s="147"/>
      <c r="BQ30" s="147"/>
      <c r="BR30" s="147"/>
      <c r="BS30" s="147"/>
      <c r="BT30" s="147"/>
      <c r="BU30" s="147"/>
      <c r="BV30" s="147"/>
      <c r="BW30" s="147"/>
      <c r="BX30" s="147"/>
      <c r="BY30" s="147"/>
      <c r="BZ30" s="147"/>
      <c r="CA30" s="147"/>
      <c r="CB30" s="147"/>
      <c r="CC30" s="147"/>
      <c r="CD30" s="147"/>
      <c r="CE30" s="71"/>
      <c r="CF30" s="147"/>
      <c r="CG30" s="147"/>
      <c r="CH30" s="147"/>
      <c r="CI30" s="147"/>
      <c r="CJ30" s="71"/>
      <c r="CK30" s="147"/>
      <c r="CL30" s="147"/>
      <c r="CM30" s="147"/>
      <c r="CN30" s="147"/>
      <c r="CO30" s="147"/>
      <c r="CP30" s="147"/>
      <c r="CQ30" s="147"/>
      <c r="CR30" s="147"/>
      <c r="CS30" s="71"/>
      <c r="CT30" s="71"/>
      <c r="CU30" s="19"/>
      <c r="CV30" s="71"/>
      <c r="CW30" s="147"/>
      <c r="CX30" s="147"/>
      <c r="CY30" s="71"/>
      <c r="CZ30" s="71"/>
      <c r="DA30" s="147"/>
      <c r="DB30" s="147"/>
      <c r="DC30" s="147"/>
      <c r="DD30" s="147"/>
      <c r="DE30" s="147"/>
      <c r="DF30" s="147"/>
      <c r="DG30" s="147"/>
      <c r="DH30" s="71"/>
      <c r="DI30" s="71"/>
      <c r="DJ30" s="147"/>
      <c r="DK30" s="147"/>
      <c r="DL30" s="147"/>
      <c r="DM30" s="147"/>
      <c r="DN30" s="147"/>
      <c r="DO30" s="147"/>
      <c r="DP30" s="148"/>
      <c r="DQ30" s="45"/>
    </row>
    <row r="31" spans="2:121" ht="16.5" x14ac:dyDescent="0.35">
      <c r="B31" s="45"/>
      <c r="D31" s="9"/>
      <c r="E31" s="163" t="s">
        <v>81</v>
      </c>
      <c r="F31" s="54" t="s">
        <v>148</v>
      </c>
      <c r="G31" s="165" t="s">
        <v>183</v>
      </c>
      <c r="H31" s="536" t="s">
        <v>78</v>
      </c>
      <c r="I31" s="69" t="s">
        <v>78</v>
      </c>
      <c r="J31" s="69" t="s">
        <v>78</v>
      </c>
      <c r="K31" s="138" t="s">
        <v>78</v>
      </c>
      <c r="L31" s="69" t="s">
        <v>78</v>
      </c>
      <c r="M31" s="138" t="s">
        <v>78</v>
      </c>
      <c r="N31" s="138" t="s">
        <v>78</v>
      </c>
      <c r="O31" s="138" t="s">
        <v>78</v>
      </c>
      <c r="P31" s="69" t="s">
        <v>78</v>
      </c>
      <c r="Q31" s="69" t="s">
        <v>78</v>
      </c>
      <c r="R31" s="138" t="s">
        <v>78</v>
      </c>
      <c r="S31" s="138" t="s">
        <v>78</v>
      </c>
      <c r="T31" s="17" t="s">
        <v>78</v>
      </c>
      <c r="U31" s="138" t="s">
        <v>78</v>
      </c>
      <c r="V31" s="69" t="s">
        <v>78</v>
      </c>
      <c r="W31" s="138" t="s">
        <v>78</v>
      </c>
      <c r="X31" s="69" t="s">
        <v>78</v>
      </c>
      <c r="Y31" s="138" t="s">
        <v>78</v>
      </c>
      <c r="Z31" s="138" t="s">
        <v>78</v>
      </c>
      <c r="AA31" s="138" t="s">
        <v>78</v>
      </c>
      <c r="AB31" s="138" t="s">
        <v>78</v>
      </c>
      <c r="AC31" s="77" t="s">
        <v>78</v>
      </c>
      <c r="AD31" s="151" t="s">
        <v>78</v>
      </c>
      <c r="AE31" s="69" t="s">
        <v>78</v>
      </c>
      <c r="AF31" s="138" t="s">
        <v>78</v>
      </c>
      <c r="AG31" s="69" t="s">
        <v>78</v>
      </c>
      <c r="AH31" s="138" t="s">
        <v>78</v>
      </c>
      <c r="AI31" s="138" t="s">
        <v>78</v>
      </c>
      <c r="AJ31" s="138" t="s">
        <v>78</v>
      </c>
      <c r="AK31" s="69" t="s">
        <v>78</v>
      </c>
      <c r="AL31" s="138" t="s">
        <v>78</v>
      </c>
      <c r="AM31" s="137">
        <v>2.4E-2</v>
      </c>
      <c r="AN31" s="138" t="s">
        <v>78</v>
      </c>
      <c r="AO31" s="138" t="s">
        <v>78</v>
      </c>
      <c r="AP31" s="69" t="s">
        <v>78</v>
      </c>
      <c r="AQ31" s="69" t="s">
        <v>78</v>
      </c>
      <c r="AR31" s="138" t="s">
        <v>78</v>
      </c>
      <c r="AS31" s="138" t="s">
        <v>78</v>
      </c>
      <c r="AT31" s="138" t="s">
        <v>78</v>
      </c>
      <c r="AU31" s="138" t="s">
        <v>78</v>
      </c>
      <c r="AV31" s="138" t="s">
        <v>78</v>
      </c>
      <c r="AW31" s="138" t="s">
        <v>78</v>
      </c>
      <c r="AX31" s="138" t="s">
        <v>78</v>
      </c>
      <c r="AY31" s="138" t="s">
        <v>78</v>
      </c>
      <c r="AZ31" s="69" t="s">
        <v>78</v>
      </c>
      <c r="BA31" s="138" t="s">
        <v>78</v>
      </c>
      <c r="BB31" s="138" t="s">
        <v>78</v>
      </c>
      <c r="BC31" s="69" t="s">
        <v>78</v>
      </c>
      <c r="BD31" s="69" t="s">
        <v>78</v>
      </c>
      <c r="BE31" s="138" t="s">
        <v>78</v>
      </c>
      <c r="BF31" s="138" t="s">
        <v>78</v>
      </c>
      <c r="BG31" s="138" t="s">
        <v>78</v>
      </c>
      <c r="BH31" s="138" t="s">
        <v>78</v>
      </c>
      <c r="BI31" s="138" t="s">
        <v>78</v>
      </c>
      <c r="BJ31" s="138" t="s">
        <v>78</v>
      </c>
      <c r="BK31" s="69" t="s">
        <v>78</v>
      </c>
      <c r="BL31" s="69" t="s">
        <v>78</v>
      </c>
      <c r="BM31" s="138" t="s">
        <v>78</v>
      </c>
      <c r="BN31" s="138" t="s">
        <v>78</v>
      </c>
      <c r="BO31" s="138" t="s">
        <v>78</v>
      </c>
      <c r="BP31" s="138" t="s">
        <v>78</v>
      </c>
      <c r="BQ31" s="138" t="s">
        <v>78</v>
      </c>
      <c r="BR31" s="138" t="s">
        <v>78</v>
      </c>
      <c r="BS31" s="138" t="s">
        <v>78</v>
      </c>
      <c r="BT31" s="138" t="s">
        <v>78</v>
      </c>
      <c r="BU31" s="138" t="s">
        <v>78</v>
      </c>
      <c r="BV31" s="138" t="s">
        <v>78</v>
      </c>
      <c r="BW31" s="138" t="s">
        <v>78</v>
      </c>
      <c r="BX31" s="137">
        <v>4.7E-2</v>
      </c>
      <c r="BY31" s="138" t="s">
        <v>78</v>
      </c>
      <c r="BZ31" s="138" t="s">
        <v>78</v>
      </c>
      <c r="CA31" s="138" t="s">
        <v>467</v>
      </c>
      <c r="CB31" s="138" t="s">
        <v>78</v>
      </c>
      <c r="CC31" s="138" t="s">
        <v>78</v>
      </c>
      <c r="CD31" s="138" t="s">
        <v>78</v>
      </c>
      <c r="CE31" s="69" t="s">
        <v>78</v>
      </c>
      <c r="CF31" s="138" t="s">
        <v>78</v>
      </c>
      <c r="CG31" s="138" t="s">
        <v>78</v>
      </c>
      <c r="CH31" s="138" t="s">
        <v>78</v>
      </c>
      <c r="CI31" s="138" t="s">
        <v>78</v>
      </c>
      <c r="CJ31" s="69" t="s">
        <v>78</v>
      </c>
      <c r="CK31" s="138" t="s">
        <v>78</v>
      </c>
      <c r="CL31" s="138" t="s">
        <v>78</v>
      </c>
      <c r="CM31" s="138" t="s">
        <v>78</v>
      </c>
      <c r="CN31" s="138" t="s">
        <v>78</v>
      </c>
      <c r="CO31" s="138" t="s">
        <v>78</v>
      </c>
      <c r="CP31" s="138" t="s">
        <v>78</v>
      </c>
      <c r="CQ31" s="138" t="s">
        <v>78</v>
      </c>
      <c r="CR31" s="138" t="s">
        <v>78</v>
      </c>
      <c r="CS31" s="69" t="s">
        <v>78</v>
      </c>
      <c r="CT31" s="69" t="s">
        <v>78</v>
      </c>
      <c r="CU31" s="17" t="s">
        <v>78</v>
      </c>
      <c r="CV31" s="69" t="s">
        <v>78</v>
      </c>
      <c r="CW31" s="138" t="s">
        <v>78</v>
      </c>
      <c r="CX31" s="138" t="s">
        <v>78</v>
      </c>
      <c r="CY31" s="69" t="s">
        <v>78</v>
      </c>
      <c r="CZ31" s="69" t="s">
        <v>78</v>
      </c>
      <c r="DA31" s="138" t="s">
        <v>78</v>
      </c>
      <c r="DB31" s="138" t="s">
        <v>78</v>
      </c>
      <c r="DC31" s="138" t="s">
        <v>78</v>
      </c>
      <c r="DD31" s="138" t="s">
        <v>78</v>
      </c>
      <c r="DE31" s="137">
        <v>1.4E-2</v>
      </c>
      <c r="DF31" s="138" t="s">
        <v>78</v>
      </c>
      <c r="DG31" s="138" t="s">
        <v>78</v>
      </c>
      <c r="DH31" s="69" t="s">
        <v>78</v>
      </c>
      <c r="DI31" s="98">
        <v>4.0000000000000001E-3</v>
      </c>
      <c r="DJ31" s="138" t="s">
        <v>78</v>
      </c>
      <c r="DK31" s="138" t="s">
        <v>78</v>
      </c>
      <c r="DL31" s="138" t="s">
        <v>78</v>
      </c>
      <c r="DM31" s="138" t="s">
        <v>78</v>
      </c>
      <c r="DN31" s="138" t="s">
        <v>78</v>
      </c>
      <c r="DO31" s="138" t="s">
        <v>78</v>
      </c>
      <c r="DP31" s="315" t="s">
        <v>78</v>
      </c>
      <c r="DQ31" s="45"/>
    </row>
    <row r="32" spans="2:121" ht="16.5" x14ac:dyDescent="0.35">
      <c r="B32" s="162"/>
      <c r="C32" s="292"/>
      <c r="D32" s="41">
        <v>40301010</v>
      </c>
      <c r="E32" s="141" t="s">
        <v>74</v>
      </c>
      <c r="F32" s="54" t="s">
        <v>148</v>
      </c>
      <c r="G32" s="165" t="s">
        <v>183</v>
      </c>
      <c r="H32" s="536" t="s">
        <v>78</v>
      </c>
      <c r="I32" s="69" t="s">
        <v>78</v>
      </c>
      <c r="J32" s="69" t="s">
        <v>78</v>
      </c>
      <c r="K32" s="138" t="s">
        <v>78</v>
      </c>
      <c r="L32" s="69" t="s">
        <v>78</v>
      </c>
      <c r="M32" s="138" t="s">
        <v>78</v>
      </c>
      <c r="N32" s="138" t="s">
        <v>78</v>
      </c>
      <c r="O32" s="138" t="s">
        <v>78</v>
      </c>
      <c r="P32" s="69" t="s">
        <v>78</v>
      </c>
      <c r="Q32" s="69" t="s">
        <v>78</v>
      </c>
      <c r="R32" s="138" t="s">
        <v>78</v>
      </c>
      <c r="S32" s="138" t="s">
        <v>78</v>
      </c>
      <c r="T32" s="17" t="s">
        <v>78</v>
      </c>
      <c r="U32" s="138" t="s">
        <v>78</v>
      </c>
      <c r="V32" s="69" t="s">
        <v>78</v>
      </c>
      <c r="W32" s="138" t="s">
        <v>78</v>
      </c>
      <c r="X32" s="69" t="s">
        <v>78</v>
      </c>
      <c r="Y32" s="138" t="s">
        <v>78</v>
      </c>
      <c r="Z32" s="138" t="s">
        <v>78</v>
      </c>
      <c r="AA32" s="138" t="s">
        <v>78</v>
      </c>
      <c r="AB32" s="138" t="s">
        <v>78</v>
      </c>
      <c r="AC32" s="77" t="s">
        <v>78</v>
      </c>
      <c r="AD32" s="151" t="s">
        <v>78</v>
      </c>
      <c r="AE32" s="69" t="s">
        <v>78</v>
      </c>
      <c r="AF32" s="138" t="s">
        <v>78</v>
      </c>
      <c r="AG32" s="69" t="s">
        <v>78</v>
      </c>
      <c r="AH32" s="138" t="s">
        <v>78</v>
      </c>
      <c r="AI32" s="138" t="s">
        <v>78</v>
      </c>
      <c r="AJ32" s="138" t="s">
        <v>78</v>
      </c>
      <c r="AK32" s="69" t="s">
        <v>78</v>
      </c>
      <c r="AL32" s="138" t="s">
        <v>78</v>
      </c>
      <c r="AM32" s="137">
        <v>2.4E-2</v>
      </c>
      <c r="AN32" s="138" t="s">
        <v>78</v>
      </c>
      <c r="AO32" s="138" t="s">
        <v>78</v>
      </c>
      <c r="AP32" s="69" t="s">
        <v>78</v>
      </c>
      <c r="AQ32" s="69" t="s">
        <v>78</v>
      </c>
      <c r="AR32" s="138" t="s">
        <v>78</v>
      </c>
      <c r="AS32" s="138" t="s">
        <v>78</v>
      </c>
      <c r="AT32" s="138" t="s">
        <v>78</v>
      </c>
      <c r="AU32" s="138" t="s">
        <v>78</v>
      </c>
      <c r="AV32" s="138" t="s">
        <v>78</v>
      </c>
      <c r="AW32" s="138" t="s">
        <v>78</v>
      </c>
      <c r="AX32" s="138" t="s">
        <v>78</v>
      </c>
      <c r="AY32" s="138" t="s">
        <v>78</v>
      </c>
      <c r="AZ32" s="69" t="s">
        <v>78</v>
      </c>
      <c r="BA32" s="138" t="s">
        <v>78</v>
      </c>
      <c r="BB32" s="138" t="s">
        <v>78</v>
      </c>
      <c r="BC32" s="69" t="s">
        <v>78</v>
      </c>
      <c r="BD32" s="69" t="s">
        <v>78</v>
      </c>
      <c r="BE32" s="138" t="s">
        <v>78</v>
      </c>
      <c r="BF32" s="138" t="s">
        <v>78</v>
      </c>
      <c r="BG32" s="138" t="s">
        <v>78</v>
      </c>
      <c r="BH32" s="138" t="s">
        <v>78</v>
      </c>
      <c r="BI32" s="138" t="s">
        <v>78</v>
      </c>
      <c r="BJ32" s="138" t="s">
        <v>78</v>
      </c>
      <c r="BK32" s="69" t="s">
        <v>78</v>
      </c>
      <c r="BL32" s="69" t="s">
        <v>78</v>
      </c>
      <c r="BM32" s="138" t="s">
        <v>78</v>
      </c>
      <c r="BN32" s="138" t="s">
        <v>78</v>
      </c>
      <c r="BO32" s="138" t="s">
        <v>78</v>
      </c>
      <c r="BP32" s="138" t="s">
        <v>78</v>
      </c>
      <c r="BQ32" s="138" t="s">
        <v>78</v>
      </c>
      <c r="BR32" s="138" t="s">
        <v>78</v>
      </c>
      <c r="BS32" s="138" t="s">
        <v>78</v>
      </c>
      <c r="BT32" s="138" t="s">
        <v>78</v>
      </c>
      <c r="BU32" s="138" t="s">
        <v>78</v>
      </c>
      <c r="BV32" s="138" t="s">
        <v>78</v>
      </c>
      <c r="BW32" s="138" t="s">
        <v>78</v>
      </c>
      <c r="BX32" s="137">
        <v>4.7E-2</v>
      </c>
      <c r="BY32" s="138" t="s">
        <v>78</v>
      </c>
      <c r="BZ32" s="138" t="s">
        <v>78</v>
      </c>
      <c r="CA32" s="138" t="s">
        <v>467</v>
      </c>
      <c r="CB32" s="138" t="s">
        <v>78</v>
      </c>
      <c r="CC32" s="138" t="s">
        <v>78</v>
      </c>
      <c r="CD32" s="138" t="s">
        <v>78</v>
      </c>
      <c r="CE32" s="69" t="s">
        <v>78</v>
      </c>
      <c r="CF32" s="138" t="s">
        <v>78</v>
      </c>
      <c r="CG32" s="138" t="s">
        <v>78</v>
      </c>
      <c r="CH32" s="138" t="s">
        <v>78</v>
      </c>
      <c r="CI32" s="138" t="s">
        <v>78</v>
      </c>
      <c r="CJ32" s="69" t="s">
        <v>78</v>
      </c>
      <c r="CK32" s="138" t="s">
        <v>78</v>
      </c>
      <c r="CL32" s="138" t="s">
        <v>78</v>
      </c>
      <c r="CM32" s="138" t="s">
        <v>78</v>
      </c>
      <c r="CN32" s="138" t="s">
        <v>78</v>
      </c>
      <c r="CO32" s="138" t="s">
        <v>78</v>
      </c>
      <c r="CP32" s="138" t="s">
        <v>78</v>
      </c>
      <c r="CQ32" s="138" t="s">
        <v>78</v>
      </c>
      <c r="CR32" s="138" t="s">
        <v>78</v>
      </c>
      <c r="CS32" s="69" t="s">
        <v>78</v>
      </c>
      <c r="CT32" s="69" t="s">
        <v>78</v>
      </c>
      <c r="CU32" s="17" t="s">
        <v>78</v>
      </c>
      <c r="CV32" s="69" t="s">
        <v>78</v>
      </c>
      <c r="CW32" s="138" t="s">
        <v>78</v>
      </c>
      <c r="CX32" s="138" t="s">
        <v>78</v>
      </c>
      <c r="CY32" s="69" t="s">
        <v>78</v>
      </c>
      <c r="CZ32" s="69" t="s">
        <v>78</v>
      </c>
      <c r="DA32" s="138" t="s">
        <v>78</v>
      </c>
      <c r="DB32" s="138" t="s">
        <v>78</v>
      </c>
      <c r="DC32" s="138" t="s">
        <v>78</v>
      </c>
      <c r="DD32" s="138" t="s">
        <v>78</v>
      </c>
      <c r="DE32" s="137">
        <v>1.4E-2</v>
      </c>
      <c r="DF32" s="138" t="s">
        <v>78</v>
      </c>
      <c r="DG32" s="138" t="s">
        <v>78</v>
      </c>
      <c r="DH32" s="69" t="s">
        <v>78</v>
      </c>
      <c r="DI32" s="98">
        <v>4.0000000000000001E-3</v>
      </c>
      <c r="DJ32" s="138" t="s">
        <v>78</v>
      </c>
      <c r="DK32" s="138" t="s">
        <v>78</v>
      </c>
      <c r="DL32" s="138" t="s">
        <v>78</v>
      </c>
      <c r="DM32" s="138" t="s">
        <v>78</v>
      </c>
      <c r="DN32" s="138" t="s">
        <v>78</v>
      </c>
      <c r="DO32" s="138" t="s">
        <v>78</v>
      </c>
      <c r="DP32" s="315" t="s">
        <v>78</v>
      </c>
      <c r="DQ32" s="45"/>
    </row>
    <row r="33" spans="2:121" ht="16.5" x14ac:dyDescent="0.35">
      <c r="B33" s="162"/>
      <c r="C33" s="292"/>
      <c r="D33" s="41">
        <v>40301012</v>
      </c>
      <c r="E33" s="141" t="s">
        <v>75</v>
      </c>
      <c r="F33" s="54" t="s">
        <v>148</v>
      </c>
      <c r="G33" s="165" t="s">
        <v>183</v>
      </c>
      <c r="H33" s="536" t="s">
        <v>78</v>
      </c>
      <c r="I33" s="69" t="s">
        <v>78</v>
      </c>
      <c r="J33" s="69" t="s">
        <v>78</v>
      </c>
      <c r="K33" s="138" t="s">
        <v>78</v>
      </c>
      <c r="L33" s="69" t="s">
        <v>78</v>
      </c>
      <c r="M33" s="138" t="s">
        <v>78</v>
      </c>
      <c r="N33" s="138" t="s">
        <v>78</v>
      </c>
      <c r="O33" s="138" t="s">
        <v>78</v>
      </c>
      <c r="P33" s="69" t="s">
        <v>78</v>
      </c>
      <c r="Q33" s="69" t="s">
        <v>78</v>
      </c>
      <c r="R33" s="138" t="s">
        <v>78</v>
      </c>
      <c r="S33" s="138" t="s">
        <v>78</v>
      </c>
      <c r="T33" s="17" t="s">
        <v>78</v>
      </c>
      <c r="U33" s="138" t="s">
        <v>78</v>
      </c>
      <c r="V33" s="69" t="s">
        <v>78</v>
      </c>
      <c r="W33" s="138" t="s">
        <v>78</v>
      </c>
      <c r="X33" s="69" t="s">
        <v>78</v>
      </c>
      <c r="Y33" s="138" t="s">
        <v>78</v>
      </c>
      <c r="Z33" s="138" t="s">
        <v>78</v>
      </c>
      <c r="AA33" s="138" t="s">
        <v>78</v>
      </c>
      <c r="AB33" s="138" t="s">
        <v>78</v>
      </c>
      <c r="AC33" s="77" t="s">
        <v>78</v>
      </c>
      <c r="AD33" s="151" t="s">
        <v>78</v>
      </c>
      <c r="AE33" s="69" t="s">
        <v>78</v>
      </c>
      <c r="AF33" s="138" t="s">
        <v>78</v>
      </c>
      <c r="AG33" s="69" t="s">
        <v>78</v>
      </c>
      <c r="AH33" s="138" t="s">
        <v>78</v>
      </c>
      <c r="AI33" s="138" t="s">
        <v>78</v>
      </c>
      <c r="AJ33" s="138" t="s">
        <v>78</v>
      </c>
      <c r="AK33" s="69" t="s">
        <v>78</v>
      </c>
      <c r="AL33" s="138" t="s">
        <v>78</v>
      </c>
      <c r="AM33" s="137">
        <v>2.4E-2</v>
      </c>
      <c r="AN33" s="138" t="s">
        <v>78</v>
      </c>
      <c r="AO33" s="138" t="s">
        <v>78</v>
      </c>
      <c r="AP33" s="69" t="s">
        <v>78</v>
      </c>
      <c r="AQ33" s="69" t="s">
        <v>78</v>
      </c>
      <c r="AR33" s="138" t="s">
        <v>78</v>
      </c>
      <c r="AS33" s="138" t="s">
        <v>78</v>
      </c>
      <c r="AT33" s="138" t="s">
        <v>78</v>
      </c>
      <c r="AU33" s="138" t="s">
        <v>78</v>
      </c>
      <c r="AV33" s="138" t="s">
        <v>78</v>
      </c>
      <c r="AW33" s="138" t="s">
        <v>78</v>
      </c>
      <c r="AX33" s="138" t="s">
        <v>78</v>
      </c>
      <c r="AY33" s="138" t="s">
        <v>78</v>
      </c>
      <c r="AZ33" s="69" t="s">
        <v>78</v>
      </c>
      <c r="BA33" s="138" t="s">
        <v>78</v>
      </c>
      <c r="BB33" s="138" t="s">
        <v>78</v>
      </c>
      <c r="BC33" s="69" t="s">
        <v>78</v>
      </c>
      <c r="BD33" s="69" t="s">
        <v>78</v>
      </c>
      <c r="BE33" s="138" t="s">
        <v>78</v>
      </c>
      <c r="BF33" s="138" t="s">
        <v>78</v>
      </c>
      <c r="BG33" s="138" t="s">
        <v>78</v>
      </c>
      <c r="BH33" s="138" t="s">
        <v>78</v>
      </c>
      <c r="BI33" s="138" t="s">
        <v>78</v>
      </c>
      <c r="BJ33" s="138" t="s">
        <v>78</v>
      </c>
      <c r="BK33" s="69" t="s">
        <v>78</v>
      </c>
      <c r="BL33" s="69" t="s">
        <v>78</v>
      </c>
      <c r="BM33" s="138" t="s">
        <v>78</v>
      </c>
      <c r="BN33" s="138" t="s">
        <v>78</v>
      </c>
      <c r="BO33" s="138" t="s">
        <v>78</v>
      </c>
      <c r="BP33" s="138" t="s">
        <v>78</v>
      </c>
      <c r="BQ33" s="138" t="s">
        <v>78</v>
      </c>
      <c r="BR33" s="138" t="s">
        <v>78</v>
      </c>
      <c r="BS33" s="138" t="s">
        <v>78</v>
      </c>
      <c r="BT33" s="138" t="s">
        <v>78</v>
      </c>
      <c r="BU33" s="138" t="s">
        <v>78</v>
      </c>
      <c r="BV33" s="138" t="s">
        <v>78</v>
      </c>
      <c r="BW33" s="138" t="s">
        <v>78</v>
      </c>
      <c r="BX33" s="137">
        <v>4.7E-2</v>
      </c>
      <c r="BY33" s="138" t="s">
        <v>78</v>
      </c>
      <c r="BZ33" s="138" t="s">
        <v>78</v>
      </c>
      <c r="CA33" s="138" t="s">
        <v>467</v>
      </c>
      <c r="CB33" s="138" t="s">
        <v>78</v>
      </c>
      <c r="CC33" s="138" t="s">
        <v>78</v>
      </c>
      <c r="CD33" s="138" t="s">
        <v>78</v>
      </c>
      <c r="CE33" s="69" t="s">
        <v>78</v>
      </c>
      <c r="CF33" s="138" t="s">
        <v>78</v>
      </c>
      <c r="CG33" s="138" t="s">
        <v>78</v>
      </c>
      <c r="CH33" s="138" t="s">
        <v>78</v>
      </c>
      <c r="CI33" s="138" t="s">
        <v>78</v>
      </c>
      <c r="CJ33" s="69" t="s">
        <v>78</v>
      </c>
      <c r="CK33" s="138" t="s">
        <v>78</v>
      </c>
      <c r="CL33" s="138" t="s">
        <v>78</v>
      </c>
      <c r="CM33" s="138" t="s">
        <v>78</v>
      </c>
      <c r="CN33" s="138" t="s">
        <v>78</v>
      </c>
      <c r="CO33" s="138" t="s">
        <v>78</v>
      </c>
      <c r="CP33" s="138" t="s">
        <v>78</v>
      </c>
      <c r="CQ33" s="138" t="s">
        <v>78</v>
      </c>
      <c r="CR33" s="138" t="s">
        <v>78</v>
      </c>
      <c r="CS33" s="69" t="s">
        <v>78</v>
      </c>
      <c r="CT33" s="69" t="s">
        <v>78</v>
      </c>
      <c r="CU33" s="17" t="s">
        <v>78</v>
      </c>
      <c r="CV33" s="69" t="s">
        <v>78</v>
      </c>
      <c r="CW33" s="138" t="s">
        <v>78</v>
      </c>
      <c r="CX33" s="138" t="s">
        <v>78</v>
      </c>
      <c r="CY33" s="69" t="s">
        <v>78</v>
      </c>
      <c r="CZ33" s="69" t="s">
        <v>78</v>
      </c>
      <c r="DA33" s="138" t="s">
        <v>78</v>
      </c>
      <c r="DB33" s="138" t="s">
        <v>78</v>
      </c>
      <c r="DC33" s="138" t="s">
        <v>78</v>
      </c>
      <c r="DD33" s="138" t="s">
        <v>78</v>
      </c>
      <c r="DE33" s="137">
        <v>1.4E-2</v>
      </c>
      <c r="DF33" s="138" t="s">
        <v>78</v>
      </c>
      <c r="DG33" s="138" t="s">
        <v>78</v>
      </c>
      <c r="DH33" s="69" t="s">
        <v>78</v>
      </c>
      <c r="DI33" s="98">
        <v>4.0000000000000001E-3</v>
      </c>
      <c r="DJ33" s="138" t="s">
        <v>78</v>
      </c>
      <c r="DK33" s="138" t="s">
        <v>78</v>
      </c>
      <c r="DL33" s="138" t="s">
        <v>78</v>
      </c>
      <c r="DM33" s="138" t="s">
        <v>78</v>
      </c>
      <c r="DN33" s="138" t="s">
        <v>78</v>
      </c>
      <c r="DO33" s="138" t="s">
        <v>78</v>
      </c>
      <c r="DP33" s="315" t="s">
        <v>78</v>
      </c>
      <c r="DQ33" s="45"/>
    </row>
    <row r="34" spans="2:121" ht="16.5" x14ac:dyDescent="0.35">
      <c r="B34" s="162"/>
      <c r="C34" s="292"/>
      <c r="D34" s="41">
        <v>40301109</v>
      </c>
      <c r="E34" s="141" t="s">
        <v>76</v>
      </c>
      <c r="F34" s="54" t="s">
        <v>148</v>
      </c>
      <c r="G34" s="165" t="s">
        <v>183</v>
      </c>
      <c r="H34" s="536" t="s">
        <v>78</v>
      </c>
      <c r="I34" s="69" t="s">
        <v>78</v>
      </c>
      <c r="J34" s="69" t="s">
        <v>78</v>
      </c>
      <c r="K34" s="138" t="s">
        <v>78</v>
      </c>
      <c r="L34" s="69" t="s">
        <v>78</v>
      </c>
      <c r="M34" s="138" t="s">
        <v>78</v>
      </c>
      <c r="N34" s="138" t="s">
        <v>78</v>
      </c>
      <c r="O34" s="138" t="s">
        <v>78</v>
      </c>
      <c r="P34" s="69" t="s">
        <v>78</v>
      </c>
      <c r="Q34" s="69" t="s">
        <v>78</v>
      </c>
      <c r="R34" s="138" t="s">
        <v>78</v>
      </c>
      <c r="S34" s="138" t="s">
        <v>78</v>
      </c>
      <c r="T34" s="17" t="s">
        <v>78</v>
      </c>
      <c r="U34" s="138" t="s">
        <v>78</v>
      </c>
      <c r="V34" s="69" t="s">
        <v>78</v>
      </c>
      <c r="W34" s="138" t="s">
        <v>78</v>
      </c>
      <c r="X34" s="69" t="s">
        <v>78</v>
      </c>
      <c r="Y34" s="138" t="s">
        <v>78</v>
      </c>
      <c r="Z34" s="138" t="s">
        <v>78</v>
      </c>
      <c r="AA34" s="138" t="s">
        <v>78</v>
      </c>
      <c r="AB34" s="138" t="s">
        <v>78</v>
      </c>
      <c r="AC34" s="77" t="s">
        <v>78</v>
      </c>
      <c r="AD34" s="151" t="s">
        <v>78</v>
      </c>
      <c r="AE34" s="69" t="s">
        <v>78</v>
      </c>
      <c r="AF34" s="138" t="s">
        <v>78</v>
      </c>
      <c r="AG34" s="69" t="s">
        <v>78</v>
      </c>
      <c r="AH34" s="138" t="s">
        <v>78</v>
      </c>
      <c r="AI34" s="138" t="s">
        <v>78</v>
      </c>
      <c r="AJ34" s="138" t="s">
        <v>78</v>
      </c>
      <c r="AK34" s="69" t="s">
        <v>78</v>
      </c>
      <c r="AL34" s="138" t="s">
        <v>78</v>
      </c>
      <c r="AM34" s="137">
        <v>2.4E-2</v>
      </c>
      <c r="AN34" s="138" t="s">
        <v>78</v>
      </c>
      <c r="AO34" s="138" t="s">
        <v>78</v>
      </c>
      <c r="AP34" s="69" t="s">
        <v>78</v>
      </c>
      <c r="AQ34" s="69" t="s">
        <v>78</v>
      </c>
      <c r="AR34" s="138" t="s">
        <v>78</v>
      </c>
      <c r="AS34" s="138" t="s">
        <v>78</v>
      </c>
      <c r="AT34" s="138" t="s">
        <v>78</v>
      </c>
      <c r="AU34" s="138" t="s">
        <v>78</v>
      </c>
      <c r="AV34" s="138" t="s">
        <v>78</v>
      </c>
      <c r="AW34" s="138" t="s">
        <v>78</v>
      </c>
      <c r="AX34" s="138" t="s">
        <v>78</v>
      </c>
      <c r="AY34" s="138" t="s">
        <v>78</v>
      </c>
      <c r="AZ34" s="69" t="s">
        <v>78</v>
      </c>
      <c r="BA34" s="138" t="s">
        <v>78</v>
      </c>
      <c r="BB34" s="138" t="s">
        <v>78</v>
      </c>
      <c r="BC34" s="69" t="s">
        <v>78</v>
      </c>
      <c r="BD34" s="69" t="s">
        <v>78</v>
      </c>
      <c r="BE34" s="138" t="s">
        <v>78</v>
      </c>
      <c r="BF34" s="138" t="s">
        <v>78</v>
      </c>
      <c r="BG34" s="138" t="s">
        <v>78</v>
      </c>
      <c r="BH34" s="138" t="s">
        <v>78</v>
      </c>
      <c r="BI34" s="138" t="s">
        <v>78</v>
      </c>
      <c r="BJ34" s="138" t="s">
        <v>78</v>
      </c>
      <c r="BK34" s="69" t="s">
        <v>78</v>
      </c>
      <c r="BL34" s="69" t="s">
        <v>78</v>
      </c>
      <c r="BM34" s="138" t="s">
        <v>78</v>
      </c>
      <c r="BN34" s="138" t="s">
        <v>78</v>
      </c>
      <c r="BO34" s="138" t="s">
        <v>78</v>
      </c>
      <c r="BP34" s="138" t="s">
        <v>78</v>
      </c>
      <c r="BQ34" s="138" t="s">
        <v>78</v>
      </c>
      <c r="BR34" s="138" t="s">
        <v>78</v>
      </c>
      <c r="BS34" s="138" t="s">
        <v>78</v>
      </c>
      <c r="BT34" s="138" t="s">
        <v>78</v>
      </c>
      <c r="BU34" s="138" t="s">
        <v>78</v>
      </c>
      <c r="BV34" s="138" t="s">
        <v>78</v>
      </c>
      <c r="BW34" s="138" t="s">
        <v>78</v>
      </c>
      <c r="BX34" s="137">
        <v>4.7E-2</v>
      </c>
      <c r="BY34" s="138" t="s">
        <v>78</v>
      </c>
      <c r="BZ34" s="138" t="s">
        <v>78</v>
      </c>
      <c r="CA34" s="138" t="s">
        <v>467</v>
      </c>
      <c r="CB34" s="138" t="s">
        <v>78</v>
      </c>
      <c r="CC34" s="138" t="s">
        <v>78</v>
      </c>
      <c r="CD34" s="138" t="s">
        <v>78</v>
      </c>
      <c r="CE34" s="69" t="s">
        <v>78</v>
      </c>
      <c r="CF34" s="138" t="s">
        <v>78</v>
      </c>
      <c r="CG34" s="138" t="s">
        <v>78</v>
      </c>
      <c r="CH34" s="138" t="s">
        <v>78</v>
      </c>
      <c r="CI34" s="138" t="s">
        <v>78</v>
      </c>
      <c r="CJ34" s="69" t="s">
        <v>78</v>
      </c>
      <c r="CK34" s="138" t="s">
        <v>78</v>
      </c>
      <c r="CL34" s="138" t="s">
        <v>78</v>
      </c>
      <c r="CM34" s="138" t="s">
        <v>78</v>
      </c>
      <c r="CN34" s="138" t="s">
        <v>78</v>
      </c>
      <c r="CO34" s="138" t="s">
        <v>78</v>
      </c>
      <c r="CP34" s="138" t="s">
        <v>78</v>
      </c>
      <c r="CQ34" s="138" t="s">
        <v>78</v>
      </c>
      <c r="CR34" s="138" t="s">
        <v>78</v>
      </c>
      <c r="CS34" s="69" t="s">
        <v>78</v>
      </c>
      <c r="CT34" s="69" t="s">
        <v>78</v>
      </c>
      <c r="CU34" s="17" t="s">
        <v>78</v>
      </c>
      <c r="CV34" s="69" t="s">
        <v>78</v>
      </c>
      <c r="CW34" s="138" t="s">
        <v>78</v>
      </c>
      <c r="CX34" s="138" t="s">
        <v>78</v>
      </c>
      <c r="CY34" s="69" t="s">
        <v>78</v>
      </c>
      <c r="CZ34" s="69" t="s">
        <v>78</v>
      </c>
      <c r="DA34" s="138" t="s">
        <v>78</v>
      </c>
      <c r="DB34" s="138" t="s">
        <v>78</v>
      </c>
      <c r="DC34" s="138" t="s">
        <v>78</v>
      </c>
      <c r="DD34" s="138" t="s">
        <v>78</v>
      </c>
      <c r="DE34" s="137">
        <v>1.4E-2</v>
      </c>
      <c r="DF34" s="138" t="s">
        <v>78</v>
      </c>
      <c r="DG34" s="138" t="s">
        <v>78</v>
      </c>
      <c r="DH34" s="69" t="s">
        <v>78</v>
      </c>
      <c r="DI34" s="98">
        <v>4.0000000000000001E-3</v>
      </c>
      <c r="DJ34" s="138" t="s">
        <v>78</v>
      </c>
      <c r="DK34" s="138" t="s">
        <v>78</v>
      </c>
      <c r="DL34" s="138" t="s">
        <v>78</v>
      </c>
      <c r="DM34" s="138" t="s">
        <v>78</v>
      </c>
      <c r="DN34" s="138" t="s">
        <v>78</v>
      </c>
      <c r="DO34" s="138" t="s">
        <v>78</v>
      </c>
      <c r="DP34" s="315" t="s">
        <v>78</v>
      </c>
      <c r="DQ34" s="45"/>
    </row>
    <row r="35" spans="2:121" ht="16.5" x14ac:dyDescent="0.35">
      <c r="B35" s="162"/>
      <c r="C35" s="292"/>
      <c r="D35" s="41">
        <v>40301110</v>
      </c>
      <c r="E35" s="141" t="s">
        <v>184</v>
      </c>
      <c r="F35" s="54" t="s">
        <v>148</v>
      </c>
      <c r="G35" s="165" t="s">
        <v>183</v>
      </c>
      <c r="H35" s="536" t="s">
        <v>78</v>
      </c>
      <c r="I35" s="69" t="s">
        <v>78</v>
      </c>
      <c r="J35" s="69" t="s">
        <v>78</v>
      </c>
      <c r="K35" s="138" t="s">
        <v>78</v>
      </c>
      <c r="L35" s="69" t="s">
        <v>78</v>
      </c>
      <c r="M35" s="138" t="s">
        <v>78</v>
      </c>
      <c r="N35" s="138" t="s">
        <v>78</v>
      </c>
      <c r="O35" s="138" t="s">
        <v>78</v>
      </c>
      <c r="P35" s="69" t="s">
        <v>78</v>
      </c>
      <c r="Q35" s="69" t="s">
        <v>78</v>
      </c>
      <c r="R35" s="138" t="s">
        <v>78</v>
      </c>
      <c r="S35" s="138" t="s">
        <v>78</v>
      </c>
      <c r="T35" s="17" t="s">
        <v>78</v>
      </c>
      <c r="U35" s="138" t="s">
        <v>78</v>
      </c>
      <c r="V35" s="69" t="s">
        <v>78</v>
      </c>
      <c r="W35" s="138" t="s">
        <v>78</v>
      </c>
      <c r="X35" s="69" t="s">
        <v>78</v>
      </c>
      <c r="Y35" s="138" t="s">
        <v>78</v>
      </c>
      <c r="Z35" s="138" t="s">
        <v>78</v>
      </c>
      <c r="AA35" s="138" t="s">
        <v>78</v>
      </c>
      <c r="AB35" s="138" t="s">
        <v>78</v>
      </c>
      <c r="AC35" s="77" t="s">
        <v>78</v>
      </c>
      <c r="AD35" s="151" t="s">
        <v>78</v>
      </c>
      <c r="AE35" s="69" t="s">
        <v>78</v>
      </c>
      <c r="AF35" s="138" t="s">
        <v>78</v>
      </c>
      <c r="AG35" s="69" t="s">
        <v>78</v>
      </c>
      <c r="AH35" s="138" t="s">
        <v>78</v>
      </c>
      <c r="AI35" s="138" t="s">
        <v>78</v>
      </c>
      <c r="AJ35" s="138" t="s">
        <v>78</v>
      </c>
      <c r="AK35" s="69" t="s">
        <v>78</v>
      </c>
      <c r="AL35" s="138" t="s">
        <v>78</v>
      </c>
      <c r="AM35" s="137">
        <v>2.4E-2</v>
      </c>
      <c r="AN35" s="138" t="s">
        <v>78</v>
      </c>
      <c r="AO35" s="138" t="s">
        <v>78</v>
      </c>
      <c r="AP35" s="69" t="s">
        <v>78</v>
      </c>
      <c r="AQ35" s="69" t="s">
        <v>78</v>
      </c>
      <c r="AR35" s="138" t="s">
        <v>78</v>
      </c>
      <c r="AS35" s="138" t="s">
        <v>78</v>
      </c>
      <c r="AT35" s="138" t="s">
        <v>78</v>
      </c>
      <c r="AU35" s="138" t="s">
        <v>78</v>
      </c>
      <c r="AV35" s="138" t="s">
        <v>78</v>
      </c>
      <c r="AW35" s="138" t="s">
        <v>78</v>
      </c>
      <c r="AX35" s="138" t="s">
        <v>78</v>
      </c>
      <c r="AY35" s="138" t="s">
        <v>78</v>
      </c>
      <c r="AZ35" s="69" t="s">
        <v>78</v>
      </c>
      <c r="BA35" s="138" t="s">
        <v>78</v>
      </c>
      <c r="BB35" s="138" t="s">
        <v>78</v>
      </c>
      <c r="BC35" s="69" t="s">
        <v>78</v>
      </c>
      <c r="BD35" s="69" t="s">
        <v>78</v>
      </c>
      <c r="BE35" s="138" t="s">
        <v>78</v>
      </c>
      <c r="BF35" s="138" t="s">
        <v>78</v>
      </c>
      <c r="BG35" s="138" t="s">
        <v>78</v>
      </c>
      <c r="BH35" s="138" t="s">
        <v>78</v>
      </c>
      <c r="BI35" s="138" t="s">
        <v>78</v>
      </c>
      <c r="BJ35" s="138" t="s">
        <v>78</v>
      </c>
      <c r="BK35" s="69" t="s">
        <v>78</v>
      </c>
      <c r="BL35" s="69" t="s">
        <v>78</v>
      </c>
      <c r="BM35" s="138" t="s">
        <v>78</v>
      </c>
      <c r="BN35" s="138" t="s">
        <v>78</v>
      </c>
      <c r="BO35" s="138" t="s">
        <v>78</v>
      </c>
      <c r="BP35" s="138" t="s">
        <v>78</v>
      </c>
      <c r="BQ35" s="138" t="s">
        <v>78</v>
      </c>
      <c r="BR35" s="138" t="s">
        <v>78</v>
      </c>
      <c r="BS35" s="138" t="s">
        <v>78</v>
      </c>
      <c r="BT35" s="138" t="s">
        <v>78</v>
      </c>
      <c r="BU35" s="138" t="s">
        <v>78</v>
      </c>
      <c r="BV35" s="138" t="s">
        <v>78</v>
      </c>
      <c r="BW35" s="138" t="s">
        <v>78</v>
      </c>
      <c r="BX35" s="137">
        <v>4.7E-2</v>
      </c>
      <c r="BY35" s="138" t="s">
        <v>78</v>
      </c>
      <c r="BZ35" s="138" t="s">
        <v>78</v>
      </c>
      <c r="CA35" s="138" t="s">
        <v>467</v>
      </c>
      <c r="CB35" s="138" t="s">
        <v>78</v>
      </c>
      <c r="CC35" s="138" t="s">
        <v>78</v>
      </c>
      <c r="CD35" s="138" t="s">
        <v>78</v>
      </c>
      <c r="CE35" s="69" t="s">
        <v>78</v>
      </c>
      <c r="CF35" s="138" t="s">
        <v>78</v>
      </c>
      <c r="CG35" s="138" t="s">
        <v>78</v>
      </c>
      <c r="CH35" s="138" t="s">
        <v>78</v>
      </c>
      <c r="CI35" s="138" t="s">
        <v>78</v>
      </c>
      <c r="CJ35" s="69" t="s">
        <v>78</v>
      </c>
      <c r="CK35" s="138" t="s">
        <v>78</v>
      </c>
      <c r="CL35" s="138" t="s">
        <v>78</v>
      </c>
      <c r="CM35" s="138" t="s">
        <v>78</v>
      </c>
      <c r="CN35" s="138" t="s">
        <v>78</v>
      </c>
      <c r="CO35" s="138" t="s">
        <v>78</v>
      </c>
      <c r="CP35" s="138" t="s">
        <v>78</v>
      </c>
      <c r="CQ35" s="138" t="s">
        <v>78</v>
      </c>
      <c r="CR35" s="138" t="s">
        <v>78</v>
      </c>
      <c r="CS35" s="69" t="s">
        <v>78</v>
      </c>
      <c r="CT35" s="69" t="s">
        <v>78</v>
      </c>
      <c r="CU35" s="17" t="s">
        <v>78</v>
      </c>
      <c r="CV35" s="69" t="s">
        <v>78</v>
      </c>
      <c r="CW35" s="138" t="s">
        <v>78</v>
      </c>
      <c r="CX35" s="138" t="s">
        <v>78</v>
      </c>
      <c r="CY35" s="69" t="s">
        <v>78</v>
      </c>
      <c r="CZ35" s="69" t="s">
        <v>78</v>
      </c>
      <c r="DA35" s="138" t="s">
        <v>78</v>
      </c>
      <c r="DB35" s="138" t="s">
        <v>78</v>
      </c>
      <c r="DC35" s="138" t="s">
        <v>78</v>
      </c>
      <c r="DD35" s="138" t="s">
        <v>78</v>
      </c>
      <c r="DE35" s="137">
        <v>1.4E-2</v>
      </c>
      <c r="DF35" s="138" t="s">
        <v>78</v>
      </c>
      <c r="DG35" s="138" t="s">
        <v>78</v>
      </c>
      <c r="DH35" s="69" t="s">
        <v>78</v>
      </c>
      <c r="DI35" s="98">
        <v>4.0000000000000001E-3</v>
      </c>
      <c r="DJ35" s="138" t="s">
        <v>78</v>
      </c>
      <c r="DK35" s="138" t="s">
        <v>78</v>
      </c>
      <c r="DL35" s="138" t="s">
        <v>78</v>
      </c>
      <c r="DM35" s="138" t="s">
        <v>78</v>
      </c>
      <c r="DN35" s="138" t="s">
        <v>78</v>
      </c>
      <c r="DO35" s="138" t="s">
        <v>78</v>
      </c>
      <c r="DP35" s="315" t="s">
        <v>78</v>
      </c>
      <c r="DQ35" s="45"/>
    </row>
    <row r="36" spans="2:121" ht="16.5" x14ac:dyDescent="0.35">
      <c r="B36" s="162"/>
      <c r="C36" s="292"/>
      <c r="D36" s="41">
        <v>40301117</v>
      </c>
      <c r="E36" s="141" t="s">
        <v>77</v>
      </c>
      <c r="F36" s="54" t="s">
        <v>148</v>
      </c>
      <c r="G36" s="165" t="s">
        <v>183</v>
      </c>
      <c r="H36" s="536" t="s">
        <v>78</v>
      </c>
      <c r="I36" s="69" t="s">
        <v>78</v>
      </c>
      <c r="J36" s="69" t="s">
        <v>78</v>
      </c>
      <c r="K36" s="138" t="s">
        <v>78</v>
      </c>
      <c r="L36" s="69" t="s">
        <v>78</v>
      </c>
      <c r="M36" s="138" t="s">
        <v>78</v>
      </c>
      <c r="N36" s="138" t="s">
        <v>78</v>
      </c>
      <c r="O36" s="138" t="s">
        <v>78</v>
      </c>
      <c r="P36" s="69" t="s">
        <v>78</v>
      </c>
      <c r="Q36" s="69" t="s">
        <v>78</v>
      </c>
      <c r="R36" s="138" t="s">
        <v>78</v>
      </c>
      <c r="S36" s="138" t="s">
        <v>78</v>
      </c>
      <c r="T36" s="17" t="s">
        <v>78</v>
      </c>
      <c r="U36" s="138" t="s">
        <v>78</v>
      </c>
      <c r="V36" s="69" t="s">
        <v>78</v>
      </c>
      <c r="W36" s="138" t="s">
        <v>78</v>
      </c>
      <c r="X36" s="69" t="s">
        <v>78</v>
      </c>
      <c r="Y36" s="138" t="s">
        <v>78</v>
      </c>
      <c r="Z36" s="138" t="s">
        <v>78</v>
      </c>
      <c r="AA36" s="138" t="s">
        <v>78</v>
      </c>
      <c r="AB36" s="138" t="s">
        <v>78</v>
      </c>
      <c r="AC36" s="77" t="s">
        <v>78</v>
      </c>
      <c r="AD36" s="151" t="s">
        <v>78</v>
      </c>
      <c r="AE36" s="69" t="s">
        <v>78</v>
      </c>
      <c r="AF36" s="138" t="s">
        <v>78</v>
      </c>
      <c r="AG36" s="69" t="s">
        <v>78</v>
      </c>
      <c r="AH36" s="138" t="s">
        <v>78</v>
      </c>
      <c r="AI36" s="138" t="s">
        <v>78</v>
      </c>
      <c r="AJ36" s="138" t="s">
        <v>78</v>
      </c>
      <c r="AK36" s="69" t="s">
        <v>78</v>
      </c>
      <c r="AL36" s="138" t="s">
        <v>78</v>
      </c>
      <c r="AM36" s="137">
        <v>2.4E-2</v>
      </c>
      <c r="AN36" s="138" t="s">
        <v>78</v>
      </c>
      <c r="AO36" s="138" t="s">
        <v>78</v>
      </c>
      <c r="AP36" s="69" t="s">
        <v>78</v>
      </c>
      <c r="AQ36" s="69" t="s">
        <v>78</v>
      </c>
      <c r="AR36" s="138" t="s">
        <v>78</v>
      </c>
      <c r="AS36" s="138" t="s">
        <v>78</v>
      </c>
      <c r="AT36" s="138" t="s">
        <v>78</v>
      </c>
      <c r="AU36" s="138" t="s">
        <v>78</v>
      </c>
      <c r="AV36" s="138" t="s">
        <v>78</v>
      </c>
      <c r="AW36" s="138" t="s">
        <v>78</v>
      </c>
      <c r="AX36" s="138" t="s">
        <v>78</v>
      </c>
      <c r="AY36" s="138" t="s">
        <v>78</v>
      </c>
      <c r="AZ36" s="69" t="s">
        <v>78</v>
      </c>
      <c r="BA36" s="138" t="s">
        <v>78</v>
      </c>
      <c r="BB36" s="138" t="s">
        <v>78</v>
      </c>
      <c r="BC36" s="69" t="s">
        <v>78</v>
      </c>
      <c r="BD36" s="69" t="s">
        <v>78</v>
      </c>
      <c r="BE36" s="138" t="s">
        <v>78</v>
      </c>
      <c r="BF36" s="138" t="s">
        <v>78</v>
      </c>
      <c r="BG36" s="138" t="s">
        <v>78</v>
      </c>
      <c r="BH36" s="138" t="s">
        <v>78</v>
      </c>
      <c r="BI36" s="138" t="s">
        <v>78</v>
      </c>
      <c r="BJ36" s="138" t="s">
        <v>78</v>
      </c>
      <c r="BK36" s="69" t="s">
        <v>78</v>
      </c>
      <c r="BL36" s="69" t="s">
        <v>78</v>
      </c>
      <c r="BM36" s="138" t="s">
        <v>78</v>
      </c>
      <c r="BN36" s="138" t="s">
        <v>78</v>
      </c>
      <c r="BO36" s="138" t="s">
        <v>78</v>
      </c>
      <c r="BP36" s="138" t="s">
        <v>78</v>
      </c>
      <c r="BQ36" s="138" t="s">
        <v>78</v>
      </c>
      <c r="BR36" s="138" t="s">
        <v>78</v>
      </c>
      <c r="BS36" s="138" t="s">
        <v>78</v>
      </c>
      <c r="BT36" s="138" t="s">
        <v>78</v>
      </c>
      <c r="BU36" s="138" t="s">
        <v>78</v>
      </c>
      <c r="BV36" s="138" t="s">
        <v>78</v>
      </c>
      <c r="BW36" s="138" t="s">
        <v>78</v>
      </c>
      <c r="BX36" s="137">
        <v>4.7E-2</v>
      </c>
      <c r="BY36" s="138" t="s">
        <v>78</v>
      </c>
      <c r="BZ36" s="138" t="s">
        <v>78</v>
      </c>
      <c r="CA36" s="138" t="s">
        <v>467</v>
      </c>
      <c r="CB36" s="138" t="s">
        <v>78</v>
      </c>
      <c r="CC36" s="138" t="s">
        <v>78</v>
      </c>
      <c r="CD36" s="138" t="s">
        <v>78</v>
      </c>
      <c r="CE36" s="69" t="s">
        <v>78</v>
      </c>
      <c r="CF36" s="138" t="s">
        <v>78</v>
      </c>
      <c r="CG36" s="138" t="s">
        <v>78</v>
      </c>
      <c r="CH36" s="138" t="s">
        <v>78</v>
      </c>
      <c r="CI36" s="138" t="s">
        <v>78</v>
      </c>
      <c r="CJ36" s="69" t="s">
        <v>78</v>
      </c>
      <c r="CK36" s="138" t="s">
        <v>78</v>
      </c>
      <c r="CL36" s="138" t="s">
        <v>78</v>
      </c>
      <c r="CM36" s="138" t="s">
        <v>78</v>
      </c>
      <c r="CN36" s="138" t="s">
        <v>78</v>
      </c>
      <c r="CO36" s="138" t="s">
        <v>78</v>
      </c>
      <c r="CP36" s="138" t="s">
        <v>78</v>
      </c>
      <c r="CQ36" s="138" t="s">
        <v>78</v>
      </c>
      <c r="CR36" s="138" t="s">
        <v>78</v>
      </c>
      <c r="CS36" s="69" t="s">
        <v>78</v>
      </c>
      <c r="CT36" s="69" t="s">
        <v>78</v>
      </c>
      <c r="CU36" s="17" t="s">
        <v>78</v>
      </c>
      <c r="CV36" s="69" t="s">
        <v>78</v>
      </c>
      <c r="CW36" s="138" t="s">
        <v>78</v>
      </c>
      <c r="CX36" s="138" t="s">
        <v>78</v>
      </c>
      <c r="CY36" s="69" t="s">
        <v>78</v>
      </c>
      <c r="CZ36" s="69" t="s">
        <v>78</v>
      </c>
      <c r="DA36" s="138" t="s">
        <v>78</v>
      </c>
      <c r="DB36" s="138" t="s">
        <v>78</v>
      </c>
      <c r="DC36" s="138" t="s">
        <v>78</v>
      </c>
      <c r="DD36" s="138" t="s">
        <v>78</v>
      </c>
      <c r="DE36" s="137">
        <v>1.4E-2</v>
      </c>
      <c r="DF36" s="138" t="s">
        <v>78</v>
      </c>
      <c r="DG36" s="138" t="s">
        <v>78</v>
      </c>
      <c r="DH36" s="69" t="s">
        <v>78</v>
      </c>
      <c r="DI36" s="98">
        <v>4.0000000000000001E-3</v>
      </c>
      <c r="DJ36" s="138" t="s">
        <v>78</v>
      </c>
      <c r="DK36" s="138" t="s">
        <v>78</v>
      </c>
      <c r="DL36" s="138" t="s">
        <v>78</v>
      </c>
      <c r="DM36" s="138" t="s">
        <v>78</v>
      </c>
      <c r="DN36" s="138" t="s">
        <v>78</v>
      </c>
      <c r="DO36" s="138" t="s">
        <v>78</v>
      </c>
      <c r="DP36" s="315" t="s">
        <v>78</v>
      </c>
      <c r="DQ36" s="45"/>
    </row>
    <row r="37" spans="2:121" ht="15" thickBot="1" x14ac:dyDescent="0.4">
      <c r="B37" s="171"/>
      <c r="C37" s="303"/>
      <c r="D37" s="172"/>
      <c r="E37" s="173"/>
      <c r="F37" s="180"/>
      <c r="G37" s="174"/>
      <c r="H37" s="540"/>
      <c r="I37" s="99"/>
      <c r="J37" s="99"/>
      <c r="K37" s="175"/>
      <c r="L37" s="99"/>
      <c r="M37" s="175"/>
      <c r="N37" s="175"/>
      <c r="O37" s="175"/>
      <c r="P37" s="99"/>
      <c r="Q37" s="99"/>
      <c r="R37" s="175"/>
      <c r="S37" s="175"/>
      <c r="T37" s="53"/>
      <c r="U37" s="175"/>
      <c r="V37" s="99"/>
      <c r="W37" s="175"/>
      <c r="X37" s="99"/>
      <c r="Y37" s="175"/>
      <c r="Z37" s="175"/>
      <c r="AA37" s="175"/>
      <c r="AB37" s="175"/>
      <c r="AC37" s="109"/>
      <c r="AD37" s="177"/>
      <c r="AE37" s="99"/>
      <c r="AF37" s="175"/>
      <c r="AG37" s="99"/>
      <c r="AH37" s="175"/>
      <c r="AI37" s="175"/>
      <c r="AJ37" s="175"/>
      <c r="AK37" s="99"/>
      <c r="AL37" s="175"/>
      <c r="AM37" s="176"/>
      <c r="AN37" s="175"/>
      <c r="AO37" s="175"/>
      <c r="AP37" s="99"/>
      <c r="AQ37" s="99"/>
      <c r="AR37" s="175"/>
      <c r="AS37" s="175"/>
      <c r="AT37" s="175"/>
      <c r="AU37" s="175"/>
      <c r="AV37" s="175"/>
      <c r="AW37" s="175"/>
      <c r="AX37" s="175"/>
      <c r="AY37" s="175"/>
      <c r="AZ37" s="99"/>
      <c r="BA37" s="175"/>
      <c r="BB37" s="175"/>
      <c r="BC37" s="99"/>
      <c r="BD37" s="99"/>
      <c r="BE37" s="175"/>
      <c r="BF37" s="175"/>
      <c r="BG37" s="175"/>
      <c r="BH37" s="175"/>
      <c r="BI37" s="175"/>
      <c r="BJ37" s="175"/>
      <c r="BK37" s="99"/>
      <c r="BL37" s="99"/>
      <c r="BM37" s="175"/>
      <c r="BN37" s="175"/>
      <c r="BO37" s="175"/>
      <c r="BP37" s="175"/>
      <c r="BQ37" s="175"/>
      <c r="BR37" s="175"/>
      <c r="BS37" s="175"/>
      <c r="BT37" s="175"/>
      <c r="BU37" s="175"/>
      <c r="BV37" s="175"/>
      <c r="BW37" s="175"/>
      <c r="BX37" s="176"/>
      <c r="BY37" s="175"/>
      <c r="BZ37" s="175"/>
      <c r="CA37" s="175"/>
      <c r="CB37" s="175"/>
      <c r="CC37" s="175"/>
      <c r="CD37" s="175"/>
      <c r="CE37" s="99"/>
      <c r="CF37" s="175"/>
      <c r="CG37" s="175"/>
      <c r="CH37" s="175"/>
      <c r="CI37" s="175"/>
      <c r="CJ37" s="99"/>
      <c r="CK37" s="175"/>
      <c r="CL37" s="175"/>
      <c r="CM37" s="175"/>
      <c r="CN37" s="175"/>
      <c r="CO37" s="175"/>
      <c r="CP37" s="175"/>
      <c r="CQ37" s="175"/>
      <c r="CR37" s="175"/>
      <c r="CS37" s="99"/>
      <c r="CT37" s="99"/>
      <c r="CU37" s="53"/>
      <c r="CV37" s="99"/>
      <c r="CW37" s="175"/>
      <c r="CX37" s="175"/>
      <c r="CY37" s="99"/>
      <c r="CZ37" s="99"/>
      <c r="DA37" s="175"/>
      <c r="DB37" s="175"/>
      <c r="DC37" s="175"/>
      <c r="DD37" s="175"/>
      <c r="DE37" s="176"/>
      <c r="DF37" s="175"/>
      <c r="DG37" s="175"/>
      <c r="DH37" s="99"/>
      <c r="DI37" s="99"/>
      <c r="DJ37" s="175"/>
      <c r="DK37" s="175"/>
      <c r="DL37" s="175"/>
      <c r="DM37" s="175"/>
      <c r="DN37" s="175"/>
      <c r="DO37" s="175"/>
      <c r="DP37" s="317"/>
      <c r="DQ37" s="45"/>
    </row>
    <row r="38" spans="2:121" x14ac:dyDescent="0.35">
      <c r="B38" s="116"/>
      <c r="C38" s="281" t="s">
        <v>191</v>
      </c>
      <c r="D38" s="8"/>
      <c r="E38" s="163"/>
      <c r="F38" s="54"/>
      <c r="G38" s="165"/>
      <c r="H38" s="537"/>
      <c r="I38" s="69"/>
      <c r="J38" s="69"/>
      <c r="K38" s="138"/>
      <c r="L38" s="69"/>
      <c r="M38" s="138"/>
      <c r="N38" s="138"/>
      <c r="O38" s="138"/>
      <c r="P38" s="69"/>
      <c r="Q38" s="69"/>
      <c r="R38" s="138"/>
      <c r="S38" s="138"/>
      <c r="T38" s="17"/>
      <c r="U38" s="138"/>
      <c r="V38" s="69"/>
      <c r="W38" s="138"/>
      <c r="X38" s="69"/>
      <c r="Y38" s="138"/>
      <c r="Z38" s="138"/>
      <c r="AA38" s="138"/>
      <c r="AB38" s="138"/>
      <c r="AC38" s="77"/>
      <c r="AD38" s="151"/>
      <c r="AE38" s="69"/>
      <c r="AF38" s="138"/>
      <c r="AG38" s="69"/>
      <c r="AH38" s="138"/>
      <c r="AI38" s="138"/>
      <c r="AJ38" s="138"/>
      <c r="AK38" s="69"/>
      <c r="AL38" s="138"/>
      <c r="AM38" s="137"/>
      <c r="AN38" s="138"/>
      <c r="AO38" s="138"/>
      <c r="AP38" s="69"/>
      <c r="AQ38" s="69"/>
      <c r="AR38" s="138"/>
      <c r="AS38" s="138"/>
      <c r="AT38" s="138"/>
      <c r="AU38" s="138"/>
      <c r="AV38" s="138"/>
      <c r="AW38" s="138"/>
      <c r="AX38" s="138"/>
      <c r="AY38" s="138"/>
      <c r="AZ38" s="69"/>
      <c r="BA38" s="138"/>
      <c r="BB38" s="138"/>
      <c r="BC38" s="69"/>
      <c r="BD38" s="69"/>
      <c r="BE38" s="138"/>
      <c r="BF38" s="138"/>
      <c r="BG38" s="138"/>
      <c r="BH38" s="138"/>
      <c r="BI38" s="138"/>
      <c r="BJ38" s="138"/>
      <c r="BK38" s="69"/>
      <c r="BL38" s="69"/>
      <c r="BM38" s="138"/>
      <c r="BN38" s="138"/>
      <c r="BO38" s="138"/>
      <c r="BP38" s="138"/>
      <c r="BQ38" s="138"/>
      <c r="BR38" s="138"/>
      <c r="BS38" s="138"/>
      <c r="BT38" s="138"/>
      <c r="BU38" s="138"/>
      <c r="BV38" s="138"/>
      <c r="BW38" s="138"/>
      <c r="BX38" s="137"/>
      <c r="BY38" s="138"/>
      <c r="BZ38" s="138"/>
      <c r="CA38" s="138"/>
      <c r="CB38" s="138"/>
      <c r="CC38" s="138"/>
      <c r="CD38" s="138"/>
      <c r="CE38" s="69"/>
      <c r="CF38" s="138"/>
      <c r="CG38" s="138"/>
      <c r="CH38" s="138"/>
      <c r="CI38" s="138"/>
      <c r="CJ38" s="69"/>
      <c r="CK38" s="138"/>
      <c r="CL38" s="138"/>
      <c r="CM38" s="138"/>
      <c r="CN38" s="138"/>
      <c r="CO38" s="138"/>
      <c r="CP38" s="138"/>
      <c r="CQ38" s="138"/>
      <c r="CR38" s="138"/>
      <c r="CS38" s="69"/>
      <c r="CT38" s="69"/>
      <c r="CU38" s="17"/>
      <c r="CV38" s="69"/>
      <c r="CW38" s="138"/>
      <c r="CX38" s="138"/>
      <c r="CY38" s="69"/>
      <c r="CZ38" s="69"/>
      <c r="DA38" s="138"/>
      <c r="DB38" s="138"/>
      <c r="DC38" s="138"/>
      <c r="DD38" s="138"/>
      <c r="DE38" s="137"/>
      <c r="DF38" s="138"/>
      <c r="DG38" s="138"/>
      <c r="DH38" s="69"/>
      <c r="DI38" s="69"/>
      <c r="DJ38" s="138"/>
      <c r="DK38" s="138"/>
      <c r="DL38" s="138"/>
      <c r="DM38" s="138"/>
      <c r="DN38" s="138"/>
      <c r="DO38" s="138"/>
      <c r="DP38" s="315"/>
      <c r="DQ38" s="45"/>
    </row>
    <row r="39" spans="2:121" ht="15" customHeight="1" x14ac:dyDescent="0.35">
      <c r="B39" s="164"/>
      <c r="C39" s="304" t="s">
        <v>140</v>
      </c>
      <c r="D39" s="9">
        <v>30600503</v>
      </c>
      <c r="E39" s="163" t="s">
        <v>51</v>
      </c>
      <c r="F39" s="54" t="s">
        <v>135</v>
      </c>
      <c r="G39" s="165" t="s">
        <v>183</v>
      </c>
      <c r="H39" s="536" t="s">
        <v>78</v>
      </c>
      <c r="I39" s="69" t="s">
        <v>78</v>
      </c>
      <c r="J39" s="69" t="s">
        <v>78</v>
      </c>
      <c r="K39" s="138" t="s">
        <v>78</v>
      </c>
      <c r="L39" s="69" t="s">
        <v>78</v>
      </c>
      <c r="M39" s="138" t="s">
        <v>78</v>
      </c>
      <c r="N39" s="138" t="s">
        <v>78</v>
      </c>
      <c r="O39" s="138" t="s">
        <v>78</v>
      </c>
      <c r="P39" s="69" t="s">
        <v>78</v>
      </c>
      <c r="Q39" s="69" t="s">
        <v>78</v>
      </c>
      <c r="R39" s="138" t="s">
        <v>78</v>
      </c>
      <c r="S39" s="138" t="s">
        <v>78</v>
      </c>
      <c r="T39" s="17" t="s">
        <v>78</v>
      </c>
      <c r="U39" s="138" t="s">
        <v>78</v>
      </c>
      <c r="V39" s="69" t="s">
        <v>78</v>
      </c>
      <c r="W39" s="138" t="s">
        <v>78</v>
      </c>
      <c r="X39" s="69" t="s">
        <v>78</v>
      </c>
      <c r="Y39" s="138" t="s">
        <v>78</v>
      </c>
      <c r="Z39" s="138" t="s">
        <v>78</v>
      </c>
      <c r="AA39" s="138" t="s">
        <v>78</v>
      </c>
      <c r="AB39" s="138" t="s">
        <v>78</v>
      </c>
      <c r="AC39" s="77" t="s">
        <v>78</v>
      </c>
      <c r="AD39" s="151" t="s">
        <v>78</v>
      </c>
      <c r="AE39" s="69" t="s">
        <v>78</v>
      </c>
      <c r="AF39" s="138" t="s">
        <v>78</v>
      </c>
      <c r="AG39" s="69" t="s">
        <v>78</v>
      </c>
      <c r="AH39" s="138" t="s">
        <v>78</v>
      </c>
      <c r="AI39" s="138" t="s">
        <v>78</v>
      </c>
      <c r="AJ39" s="138" t="s">
        <v>78</v>
      </c>
      <c r="AK39" s="69" t="s">
        <v>78</v>
      </c>
      <c r="AL39" s="138" t="s">
        <v>78</v>
      </c>
      <c r="AM39" s="137">
        <v>1.6E-2</v>
      </c>
      <c r="AN39" s="138" t="s">
        <v>78</v>
      </c>
      <c r="AO39" s="138" t="s">
        <v>78</v>
      </c>
      <c r="AP39" s="69" t="s">
        <v>78</v>
      </c>
      <c r="AQ39" s="69" t="s">
        <v>78</v>
      </c>
      <c r="AR39" s="138" t="s">
        <v>78</v>
      </c>
      <c r="AS39" s="138" t="s">
        <v>78</v>
      </c>
      <c r="AT39" s="138" t="s">
        <v>78</v>
      </c>
      <c r="AU39" s="138" t="s">
        <v>78</v>
      </c>
      <c r="AV39" s="138" t="s">
        <v>78</v>
      </c>
      <c r="AW39" s="138" t="s">
        <v>78</v>
      </c>
      <c r="AX39" s="138" t="s">
        <v>78</v>
      </c>
      <c r="AY39" s="138" t="s">
        <v>78</v>
      </c>
      <c r="AZ39" s="69" t="s">
        <v>78</v>
      </c>
      <c r="BA39" s="138" t="s">
        <v>78</v>
      </c>
      <c r="BB39" s="138" t="s">
        <v>78</v>
      </c>
      <c r="BC39" s="69" t="s">
        <v>78</v>
      </c>
      <c r="BD39" s="69" t="s">
        <v>78</v>
      </c>
      <c r="BE39" s="138" t="s">
        <v>78</v>
      </c>
      <c r="BF39" s="138" t="s">
        <v>78</v>
      </c>
      <c r="BG39" s="138" t="s">
        <v>78</v>
      </c>
      <c r="BH39" s="138" t="s">
        <v>78</v>
      </c>
      <c r="BI39" s="138" t="s">
        <v>78</v>
      </c>
      <c r="BJ39" s="138" t="s">
        <v>78</v>
      </c>
      <c r="BK39" s="69" t="s">
        <v>78</v>
      </c>
      <c r="BL39" s="69" t="s">
        <v>78</v>
      </c>
      <c r="BM39" s="138" t="s">
        <v>78</v>
      </c>
      <c r="BN39" s="138" t="s">
        <v>78</v>
      </c>
      <c r="BO39" s="138" t="s">
        <v>78</v>
      </c>
      <c r="BP39" s="138" t="s">
        <v>78</v>
      </c>
      <c r="BQ39" s="138" t="s">
        <v>78</v>
      </c>
      <c r="BR39" s="138" t="s">
        <v>78</v>
      </c>
      <c r="BS39" s="138" t="s">
        <v>78</v>
      </c>
      <c r="BT39" s="138" t="s">
        <v>78</v>
      </c>
      <c r="BU39" s="138" t="s">
        <v>78</v>
      </c>
      <c r="BV39" s="138" t="s">
        <v>78</v>
      </c>
      <c r="BW39" s="138" t="s">
        <v>78</v>
      </c>
      <c r="BX39" s="137">
        <v>3.2000000000000001E-2</v>
      </c>
      <c r="BY39" s="138" t="s">
        <v>78</v>
      </c>
      <c r="BZ39" s="138" t="s">
        <v>78</v>
      </c>
      <c r="CA39" s="138" t="s">
        <v>467</v>
      </c>
      <c r="CB39" s="138" t="s">
        <v>78</v>
      </c>
      <c r="CC39" s="138" t="s">
        <v>78</v>
      </c>
      <c r="CD39" s="138" t="s">
        <v>78</v>
      </c>
      <c r="CE39" s="69" t="s">
        <v>78</v>
      </c>
      <c r="CF39" s="138" t="s">
        <v>78</v>
      </c>
      <c r="CG39" s="138" t="s">
        <v>78</v>
      </c>
      <c r="CH39" s="138" t="s">
        <v>78</v>
      </c>
      <c r="CI39" s="138" t="s">
        <v>78</v>
      </c>
      <c r="CJ39" s="69" t="s">
        <v>78</v>
      </c>
      <c r="CK39" s="138" t="s">
        <v>78</v>
      </c>
      <c r="CL39" s="138" t="s">
        <v>78</v>
      </c>
      <c r="CM39" s="138" t="s">
        <v>78</v>
      </c>
      <c r="CN39" s="138" t="s">
        <v>78</v>
      </c>
      <c r="CO39" s="138" t="s">
        <v>78</v>
      </c>
      <c r="CP39" s="138" t="s">
        <v>78</v>
      </c>
      <c r="CQ39" s="138" t="s">
        <v>78</v>
      </c>
      <c r="CR39" s="138" t="s">
        <v>78</v>
      </c>
      <c r="CS39" s="69" t="s">
        <v>78</v>
      </c>
      <c r="CT39" s="69" t="s">
        <v>78</v>
      </c>
      <c r="CU39" s="17" t="s">
        <v>78</v>
      </c>
      <c r="CV39" s="69" t="s">
        <v>78</v>
      </c>
      <c r="CW39" s="138" t="s">
        <v>78</v>
      </c>
      <c r="CX39" s="138" t="s">
        <v>78</v>
      </c>
      <c r="CY39" s="69" t="s">
        <v>78</v>
      </c>
      <c r="CZ39" s="69" t="s">
        <v>78</v>
      </c>
      <c r="DA39" s="138" t="s">
        <v>78</v>
      </c>
      <c r="DB39" s="138" t="s">
        <v>78</v>
      </c>
      <c r="DC39" s="138" t="s">
        <v>78</v>
      </c>
      <c r="DD39" s="138" t="s">
        <v>78</v>
      </c>
      <c r="DE39" s="137">
        <v>0.01</v>
      </c>
      <c r="DF39" s="138" t="s">
        <v>78</v>
      </c>
      <c r="DG39" s="138" t="s">
        <v>78</v>
      </c>
      <c r="DH39" s="69" t="s">
        <v>78</v>
      </c>
      <c r="DI39" s="98">
        <v>3.0000000000000001E-3</v>
      </c>
      <c r="DJ39" s="138" t="s">
        <v>78</v>
      </c>
      <c r="DK39" s="138" t="s">
        <v>78</v>
      </c>
      <c r="DL39" s="138" t="s">
        <v>78</v>
      </c>
      <c r="DM39" s="138" t="s">
        <v>78</v>
      </c>
      <c r="DN39" s="138" t="s">
        <v>78</v>
      </c>
      <c r="DO39" s="138" t="s">
        <v>78</v>
      </c>
      <c r="DP39" s="315" t="s">
        <v>78</v>
      </c>
      <c r="DQ39" s="45"/>
    </row>
    <row r="40" spans="2:121" ht="16.5" x14ac:dyDescent="0.35">
      <c r="B40" s="45"/>
      <c r="D40" s="41">
        <v>31000101</v>
      </c>
      <c r="E40" s="141" t="s">
        <v>63</v>
      </c>
      <c r="F40" s="54" t="s">
        <v>135</v>
      </c>
      <c r="G40" s="165" t="s">
        <v>183</v>
      </c>
      <c r="H40" s="536" t="s">
        <v>78</v>
      </c>
      <c r="I40" s="69" t="s">
        <v>78</v>
      </c>
      <c r="J40" s="69" t="s">
        <v>78</v>
      </c>
      <c r="K40" s="138" t="s">
        <v>78</v>
      </c>
      <c r="L40" s="69" t="s">
        <v>78</v>
      </c>
      <c r="M40" s="138" t="s">
        <v>78</v>
      </c>
      <c r="N40" s="138" t="s">
        <v>78</v>
      </c>
      <c r="O40" s="138" t="s">
        <v>78</v>
      </c>
      <c r="P40" s="69" t="s">
        <v>78</v>
      </c>
      <c r="Q40" s="69" t="s">
        <v>78</v>
      </c>
      <c r="R40" s="138" t="s">
        <v>78</v>
      </c>
      <c r="S40" s="138" t="s">
        <v>78</v>
      </c>
      <c r="T40" s="17" t="s">
        <v>78</v>
      </c>
      <c r="U40" s="138" t="s">
        <v>78</v>
      </c>
      <c r="V40" s="69" t="s">
        <v>78</v>
      </c>
      <c r="W40" s="138" t="s">
        <v>78</v>
      </c>
      <c r="X40" s="69" t="s">
        <v>78</v>
      </c>
      <c r="Y40" s="138" t="s">
        <v>78</v>
      </c>
      <c r="Z40" s="138" t="s">
        <v>78</v>
      </c>
      <c r="AA40" s="138" t="s">
        <v>78</v>
      </c>
      <c r="AB40" s="138" t="s">
        <v>78</v>
      </c>
      <c r="AC40" s="77" t="s">
        <v>78</v>
      </c>
      <c r="AD40" s="151" t="s">
        <v>78</v>
      </c>
      <c r="AE40" s="69" t="s">
        <v>78</v>
      </c>
      <c r="AF40" s="138" t="s">
        <v>78</v>
      </c>
      <c r="AG40" s="69" t="s">
        <v>78</v>
      </c>
      <c r="AH40" s="138" t="s">
        <v>78</v>
      </c>
      <c r="AI40" s="138" t="s">
        <v>78</v>
      </c>
      <c r="AJ40" s="138" t="s">
        <v>78</v>
      </c>
      <c r="AK40" s="69" t="s">
        <v>78</v>
      </c>
      <c r="AL40" s="138" t="s">
        <v>78</v>
      </c>
      <c r="AM40" s="137">
        <v>1.6E-2</v>
      </c>
      <c r="AN40" s="138" t="s">
        <v>78</v>
      </c>
      <c r="AO40" s="138" t="s">
        <v>78</v>
      </c>
      <c r="AP40" s="69" t="s">
        <v>78</v>
      </c>
      <c r="AQ40" s="69" t="s">
        <v>78</v>
      </c>
      <c r="AR40" s="138" t="s">
        <v>78</v>
      </c>
      <c r="AS40" s="138" t="s">
        <v>78</v>
      </c>
      <c r="AT40" s="138" t="s">
        <v>78</v>
      </c>
      <c r="AU40" s="138" t="s">
        <v>78</v>
      </c>
      <c r="AV40" s="138" t="s">
        <v>78</v>
      </c>
      <c r="AW40" s="138" t="s">
        <v>78</v>
      </c>
      <c r="AX40" s="138" t="s">
        <v>78</v>
      </c>
      <c r="AY40" s="138" t="s">
        <v>78</v>
      </c>
      <c r="AZ40" s="69" t="s">
        <v>78</v>
      </c>
      <c r="BA40" s="138" t="s">
        <v>78</v>
      </c>
      <c r="BB40" s="138" t="s">
        <v>78</v>
      </c>
      <c r="BC40" s="69" t="s">
        <v>78</v>
      </c>
      <c r="BD40" s="69" t="s">
        <v>78</v>
      </c>
      <c r="BE40" s="138" t="s">
        <v>78</v>
      </c>
      <c r="BF40" s="138" t="s">
        <v>78</v>
      </c>
      <c r="BG40" s="138" t="s">
        <v>78</v>
      </c>
      <c r="BH40" s="138" t="s">
        <v>78</v>
      </c>
      <c r="BI40" s="138" t="s">
        <v>78</v>
      </c>
      <c r="BJ40" s="138" t="s">
        <v>78</v>
      </c>
      <c r="BK40" s="69" t="s">
        <v>78</v>
      </c>
      <c r="BL40" s="69" t="s">
        <v>78</v>
      </c>
      <c r="BM40" s="138" t="s">
        <v>78</v>
      </c>
      <c r="BN40" s="138" t="s">
        <v>78</v>
      </c>
      <c r="BO40" s="138" t="s">
        <v>78</v>
      </c>
      <c r="BP40" s="138" t="s">
        <v>78</v>
      </c>
      <c r="BQ40" s="138" t="s">
        <v>78</v>
      </c>
      <c r="BR40" s="138" t="s">
        <v>78</v>
      </c>
      <c r="BS40" s="138" t="s">
        <v>78</v>
      </c>
      <c r="BT40" s="138" t="s">
        <v>78</v>
      </c>
      <c r="BU40" s="138" t="s">
        <v>78</v>
      </c>
      <c r="BV40" s="138" t="s">
        <v>78</v>
      </c>
      <c r="BW40" s="138" t="s">
        <v>78</v>
      </c>
      <c r="BX40" s="137">
        <v>3.2000000000000001E-2</v>
      </c>
      <c r="BY40" s="138" t="s">
        <v>78</v>
      </c>
      <c r="BZ40" s="138" t="s">
        <v>78</v>
      </c>
      <c r="CA40" s="138" t="s">
        <v>467</v>
      </c>
      <c r="CB40" s="138" t="s">
        <v>78</v>
      </c>
      <c r="CC40" s="138" t="s">
        <v>78</v>
      </c>
      <c r="CD40" s="138" t="s">
        <v>78</v>
      </c>
      <c r="CE40" s="69" t="s">
        <v>78</v>
      </c>
      <c r="CF40" s="138" t="s">
        <v>78</v>
      </c>
      <c r="CG40" s="138" t="s">
        <v>78</v>
      </c>
      <c r="CH40" s="138" t="s">
        <v>78</v>
      </c>
      <c r="CI40" s="138" t="s">
        <v>78</v>
      </c>
      <c r="CJ40" s="69" t="s">
        <v>78</v>
      </c>
      <c r="CK40" s="138" t="s">
        <v>78</v>
      </c>
      <c r="CL40" s="138" t="s">
        <v>78</v>
      </c>
      <c r="CM40" s="138" t="s">
        <v>78</v>
      </c>
      <c r="CN40" s="138" t="s">
        <v>78</v>
      </c>
      <c r="CO40" s="138" t="s">
        <v>78</v>
      </c>
      <c r="CP40" s="138" t="s">
        <v>78</v>
      </c>
      <c r="CQ40" s="138" t="s">
        <v>78</v>
      </c>
      <c r="CR40" s="138" t="s">
        <v>78</v>
      </c>
      <c r="CS40" s="69" t="s">
        <v>78</v>
      </c>
      <c r="CT40" s="69" t="s">
        <v>78</v>
      </c>
      <c r="CU40" s="17" t="s">
        <v>78</v>
      </c>
      <c r="CV40" s="69" t="s">
        <v>78</v>
      </c>
      <c r="CW40" s="138" t="s">
        <v>78</v>
      </c>
      <c r="CX40" s="138" t="s">
        <v>78</v>
      </c>
      <c r="CY40" s="69" t="s">
        <v>78</v>
      </c>
      <c r="CZ40" s="69" t="s">
        <v>78</v>
      </c>
      <c r="DA40" s="138" t="s">
        <v>78</v>
      </c>
      <c r="DB40" s="138" t="s">
        <v>78</v>
      </c>
      <c r="DC40" s="138" t="s">
        <v>78</v>
      </c>
      <c r="DD40" s="138" t="s">
        <v>78</v>
      </c>
      <c r="DE40" s="137">
        <v>0.01</v>
      </c>
      <c r="DF40" s="138" t="s">
        <v>78</v>
      </c>
      <c r="DG40" s="138" t="s">
        <v>78</v>
      </c>
      <c r="DH40" s="69" t="s">
        <v>78</v>
      </c>
      <c r="DI40" s="98">
        <v>3.0000000000000001E-3</v>
      </c>
      <c r="DJ40" s="138" t="s">
        <v>78</v>
      </c>
      <c r="DK40" s="138" t="s">
        <v>78</v>
      </c>
      <c r="DL40" s="138" t="s">
        <v>78</v>
      </c>
      <c r="DM40" s="138" t="s">
        <v>78</v>
      </c>
      <c r="DN40" s="138" t="s">
        <v>78</v>
      </c>
      <c r="DO40" s="138" t="s">
        <v>78</v>
      </c>
      <c r="DP40" s="315" t="s">
        <v>78</v>
      </c>
      <c r="DQ40" s="45"/>
    </row>
    <row r="41" spans="2:121" ht="16.5" x14ac:dyDescent="0.35">
      <c r="B41" s="128"/>
      <c r="C41" s="34"/>
      <c r="D41" s="41">
        <v>31000103</v>
      </c>
      <c r="E41" s="141" t="s">
        <v>64</v>
      </c>
      <c r="F41" s="54" t="s">
        <v>135</v>
      </c>
      <c r="G41" s="165" t="s">
        <v>183</v>
      </c>
      <c r="H41" s="536" t="s">
        <v>78</v>
      </c>
      <c r="I41" s="69" t="s">
        <v>78</v>
      </c>
      <c r="J41" s="69" t="s">
        <v>78</v>
      </c>
      <c r="K41" s="138" t="s">
        <v>78</v>
      </c>
      <c r="L41" s="69" t="s">
        <v>78</v>
      </c>
      <c r="M41" s="138" t="s">
        <v>78</v>
      </c>
      <c r="N41" s="138" t="s">
        <v>78</v>
      </c>
      <c r="O41" s="138" t="s">
        <v>78</v>
      </c>
      <c r="P41" s="69" t="s">
        <v>78</v>
      </c>
      <c r="Q41" s="69" t="s">
        <v>78</v>
      </c>
      <c r="R41" s="138" t="s">
        <v>78</v>
      </c>
      <c r="S41" s="138" t="s">
        <v>78</v>
      </c>
      <c r="T41" s="17" t="s">
        <v>78</v>
      </c>
      <c r="U41" s="138" t="s">
        <v>78</v>
      </c>
      <c r="V41" s="69" t="s">
        <v>78</v>
      </c>
      <c r="W41" s="138" t="s">
        <v>78</v>
      </c>
      <c r="X41" s="69" t="s">
        <v>78</v>
      </c>
      <c r="Y41" s="138" t="s">
        <v>78</v>
      </c>
      <c r="Z41" s="138" t="s">
        <v>78</v>
      </c>
      <c r="AA41" s="138" t="s">
        <v>78</v>
      </c>
      <c r="AB41" s="138" t="s">
        <v>78</v>
      </c>
      <c r="AC41" s="77" t="s">
        <v>78</v>
      </c>
      <c r="AD41" s="151" t="s">
        <v>78</v>
      </c>
      <c r="AE41" s="69" t="s">
        <v>78</v>
      </c>
      <c r="AF41" s="138" t="s">
        <v>78</v>
      </c>
      <c r="AG41" s="69" t="s">
        <v>78</v>
      </c>
      <c r="AH41" s="138" t="s">
        <v>78</v>
      </c>
      <c r="AI41" s="138" t="s">
        <v>78</v>
      </c>
      <c r="AJ41" s="138" t="s">
        <v>78</v>
      </c>
      <c r="AK41" s="69" t="s">
        <v>78</v>
      </c>
      <c r="AL41" s="138" t="s">
        <v>78</v>
      </c>
      <c r="AM41" s="137">
        <v>1.6E-2</v>
      </c>
      <c r="AN41" s="138" t="s">
        <v>78</v>
      </c>
      <c r="AO41" s="138" t="s">
        <v>78</v>
      </c>
      <c r="AP41" s="69" t="s">
        <v>78</v>
      </c>
      <c r="AQ41" s="69" t="s">
        <v>78</v>
      </c>
      <c r="AR41" s="138" t="s">
        <v>78</v>
      </c>
      <c r="AS41" s="138" t="s">
        <v>78</v>
      </c>
      <c r="AT41" s="138" t="s">
        <v>78</v>
      </c>
      <c r="AU41" s="138" t="s">
        <v>78</v>
      </c>
      <c r="AV41" s="138" t="s">
        <v>78</v>
      </c>
      <c r="AW41" s="138" t="s">
        <v>78</v>
      </c>
      <c r="AX41" s="138" t="s">
        <v>78</v>
      </c>
      <c r="AY41" s="138" t="s">
        <v>78</v>
      </c>
      <c r="AZ41" s="69" t="s">
        <v>78</v>
      </c>
      <c r="BA41" s="138" t="s">
        <v>78</v>
      </c>
      <c r="BB41" s="138" t="s">
        <v>78</v>
      </c>
      <c r="BC41" s="69" t="s">
        <v>78</v>
      </c>
      <c r="BD41" s="69" t="s">
        <v>78</v>
      </c>
      <c r="BE41" s="138" t="s">
        <v>78</v>
      </c>
      <c r="BF41" s="138" t="s">
        <v>78</v>
      </c>
      <c r="BG41" s="138" t="s">
        <v>78</v>
      </c>
      <c r="BH41" s="138" t="s">
        <v>78</v>
      </c>
      <c r="BI41" s="138" t="s">
        <v>78</v>
      </c>
      <c r="BJ41" s="138" t="s">
        <v>78</v>
      </c>
      <c r="BK41" s="69" t="s">
        <v>78</v>
      </c>
      <c r="BL41" s="69" t="s">
        <v>78</v>
      </c>
      <c r="BM41" s="138" t="s">
        <v>78</v>
      </c>
      <c r="BN41" s="138" t="s">
        <v>78</v>
      </c>
      <c r="BO41" s="138" t="s">
        <v>78</v>
      </c>
      <c r="BP41" s="138" t="s">
        <v>78</v>
      </c>
      <c r="BQ41" s="138" t="s">
        <v>78</v>
      </c>
      <c r="BR41" s="138" t="s">
        <v>78</v>
      </c>
      <c r="BS41" s="138" t="s">
        <v>78</v>
      </c>
      <c r="BT41" s="138" t="s">
        <v>78</v>
      </c>
      <c r="BU41" s="138" t="s">
        <v>78</v>
      </c>
      <c r="BV41" s="138" t="s">
        <v>78</v>
      </c>
      <c r="BW41" s="138" t="s">
        <v>78</v>
      </c>
      <c r="BX41" s="137">
        <v>3.2000000000000001E-2</v>
      </c>
      <c r="BY41" s="138" t="s">
        <v>78</v>
      </c>
      <c r="BZ41" s="138" t="s">
        <v>78</v>
      </c>
      <c r="CA41" s="138" t="s">
        <v>467</v>
      </c>
      <c r="CB41" s="138" t="s">
        <v>78</v>
      </c>
      <c r="CC41" s="138" t="s">
        <v>78</v>
      </c>
      <c r="CD41" s="138" t="s">
        <v>78</v>
      </c>
      <c r="CE41" s="69" t="s">
        <v>78</v>
      </c>
      <c r="CF41" s="138" t="s">
        <v>78</v>
      </c>
      <c r="CG41" s="138" t="s">
        <v>78</v>
      </c>
      <c r="CH41" s="138" t="s">
        <v>78</v>
      </c>
      <c r="CI41" s="138" t="s">
        <v>78</v>
      </c>
      <c r="CJ41" s="69" t="s">
        <v>78</v>
      </c>
      <c r="CK41" s="138" t="s">
        <v>78</v>
      </c>
      <c r="CL41" s="138" t="s">
        <v>78</v>
      </c>
      <c r="CM41" s="138" t="s">
        <v>78</v>
      </c>
      <c r="CN41" s="138" t="s">
        <v>78</v>
      </c>
      <c r="CO41" s="138" t="s">
        <v>78</v>
      </c>
      <c r="CP41" s="138" t="s">
        <v>78</v>
      </c>
      <c r="CQ41" s="138" t="s">
        <v>78</v>
      </c>
      <c r="CR41" s="138" t="s">
        <v>78</v>
      </c>
      <c r="CS41" s="69" t="s">
        <v>78</v>
      </c>
      <c r="CT41" s="69" t="s">
        <v>78</v>
      </c>
      <c r="CU41" s="17" t="s">
        <v>78</v>
      </c>
      <c r="CV41" s="69" t="s">
        <v>78</v>
      </c>
      <c r="CW41" s="138" t="s">
        <v>78</v>
      </c>
      <c r="CX41" s="138" t="s">
        <v>78</v>
      </c>
      <c r="CY41" s="69" t="s">
        <v>78</v>
      </c>
      <c r="CZ41" s="69" t="s">
        <v>78</v>
      </c>
      <c r="DA41" s="138" t="s">
        <v>78</v>
      </c>
      <c r="DB41" s="138" t="s">
        <v>78</v>
      </c>
      <c r="DC41" s="138" t="s">
        <v>78</v>
      </c>
      <c r="DD41" s="138" t="s">
        <v>78</v>
      </c>
      <c r="DE41" s="137">
        <v>0.01</v>
      </c>
      <c r="DF41" s="138" t="s">
        <v>78</v>
      </c>
      <c r="DG41" s="138" t="s">
        <v>78</v>
      </c>
      <c r="DH41" s="69" t="s">
        <v>78</v>
      </c>
      <c r="DI41" s="98">
        <v>3.0000000000000001E-3</v>
      </c>
      <c r="DJ41" s="138" t="s">
        <v>78</v>
      </c>
      <c r="DK41" s="138" t="s">
        <v>78</v>
      </c>
      <c r="DL41" s="138" t="s">
        <v>78</v>
      </c>
      <c r="DM41" s="138" t="s">
        <v>78</v>
      </c>
      <c r="DN41" s="138" t="s">
        <v>78</v>
      </c>
      <c r="DO41" s="138" t="s">
        <v>78</v>
      </c>
      <c r="DP41" s="315" t="s">
        <v>78</v>
      </c>
      <c r="DQ41" s="45"/>
    </row>
    <row r="42" spans="2:121" ht="16.5" x14ac:dyDescent="0.35">
      <c r="B42" s="128"/>
      <c r="C42" s="34"/>
      <c r="D42" s="41">
        <v>31000104</v>
      </c>
      <c r="E42" s="141" t="s">
        <v>65</v>
      </c>
      <c r="F42" s="54" t="s">
        <v>135</v>
      </c>
      <c r="G42" s="165" t="s">
        <v>183</v>
      </c>
      <c r="H42" s="536" t="s">
        <v>78</v>
      </c>
      <c r="I42" s="69" t="s">
        <v>78</v>
      </c>
      <c r="J42" s="69" t="s">
        <v>78</v>
      </c>
      <c r="K42" s="138" t="s">
        <v>78</v>
      </c>
      <c r="L42" s="69" t="s">
        <v>78</v>
      </c>
      <c r="M42" s="138" t="s">
        <v>78</v>
      </c>
      <c r="N42" s="138" t="s">
        <v>78</v>
      </c>
      <c r="O42" s="138" t="s">
        <v>78</v>
      </c>
      <c r="P42" s="69" t="s">
        <v>78</v>
      </c>
      <c r="Q42" s="69" t="s">
        <v>78</v>
      </c>
      <c r="R42" s="138" t="s">
        <v>78</v>
      </c>
      <c r="S42" s="138" t="s">
        <v>78</v>
      </c>
      <c r="T42" s="17" t="s">
        <v>78</v>
      </c>
      <c r="U42" s="138" t="s">
        <v>78</v>
      </c>
      <c r="V42" s="69" t="s">
        <v>78</v>
      </c>
      <c r="W42" s="138" t="s">
        <v>78</v>
      </c>
      <c r="X42" s="69" t="s">
        <v>78</v>
      </c>
      <c r="Y42" s="138" t="s">
        <v>78</v>
      </c>
      <c r="Z42" s="138" t="s">
        <v>78</v>
      </c>
      <c r="AA42" s="138" t="s">
        <v>78</v>
      </c>
      <c r="AB42" s="138" t="s">
        <v>78</v>
      </c>
      <c r="AC42" s="77" t="s">
        <v>78</v>
      </c>
      <c r="AD42" s="151" t="s">
        <v>78</v>
      </c>
      <c r="AE42" s="69" t="s">
        <v>78</v>
      </c>
      <c r="AF42" s="138" t="s">
        <v>78</v>
      </c>
      <c r="AG42" s="69" t="s">
        <v>78</v>
      </c>
      <c r="AH42" s="138" t="s">
        <v>78</v>
      </c>
      <c r="AI42" s="138" t="s">
        <v>78</v>
      </c>
      <c r="AJ42" s="138" t="s">
        <v>78</v>
      </c>
      <c r="AK42" s="69" t="s">
        <v>78</v>
      </c>
      <c r="AL42" s="138" t="s">
        <v>78</v>
      </c>
      <c r="AM42" s="137">
        <v>1.6E-2</v>
      </c>
      <c r="AN42" s="138" t="s">
        <v>78</v>
      </c>
      <c r="AO42" s="138" t="s">
        <v>78</v>
      </c>
      <c r="AP42" s="69" t="s">
        <v>78</v>
      </c>
      <c r="AQ42" s="69" t="s">
        <v>78</v>
      </c>
      <c r="AR42" s="138" t="s">
        <v>78</v>
      </c>
      <c r="AS42" s="138" t="s">
        <v>78</v>
      </c>
      <c r="AT42" s="138" t="s">
        <v>78</v>
      </c>
      <c r="AU42" s="138" t="s">
        <v>78</v>
      </c>
      <c r="AV42" s="138" t="s">
        <v>78</v>
      </c>
      <c r="AW42" s="138" t="s">
        <v>78</v>
      </c>
      <c r="AX42" s="138" t="s">
        <v>78</v>
      </c>
      <c r="AY42" s="138" t="s">
        <v>78</v>
      </c>
      <c r="AZ42" s="69" t="s">
        <v>78</v>
      </c>
      <c r="BA42" s="138" t="s">
        <v>78</v>
      </c>
      <c r="BB42" s="138" t="s">
        <v>78</v>
      </c>
      <c r="BC42" s="69" t="s">
        <v>78</v>
      </c>
      <c r="BD42" s="69" t="s">
        <v>78</v>
      </c>
      <c r="BE42" s="138" t="s">
        <v>78</v>
      </c>
      <c r="BF42" s="138" t="s">
        <v>78</v>
      </c>
      <c r="BG42" s="138" t="s">
        <v>78</v>
      </c>
      <c r="BH42" s="138" t="s">
        <v>78</v>
      </c>
      <c r="BI42" s="138" t="s">
        <v>78</v>
      </c>
      <c r="BJ42" s="138" t="s">
        <v>78</v>
      </c>
      <c r="BK42" s="69" t="s">
        <v>78</v>
      </c>
      <c r="BL42" s="69" t="s">
        <v>78</v>
      </c>
      <c r="BM42" s="138" t="s">
        <v>78</v>
      </c>
      <c r="BN42" s="138" t="s">
        <v>78</v>
      </c>
      <c r="BO42" s="138" t="s">
        <v>78</v>
      </c>
      <c r="BP42" s="138" t="s">
        <v>78</v>
      </c>
      <c r="BQ42" s="138" t="s">
        <v>78</v>
      </c>
      <c r="BR42" s="138" t="s">
        <v>78</v>
      </c>
      <c r="BS42" s="138" t="s">
        <v>78</v>
      </c>
      <c r="BT42" s="138" t="s">
        <v>78</v>
      </c>
      <c r="BU42" s="138" t="s">
        <v>78</v>
      </c>
      <c r="BV42" s="138" t="s">
        <v>78</v>
      </c>
      <c r="BW42" s="138" t="s">
        <v>78</v>
      </c>
      <c r="BX42" s="137">
        <v>3.2000000000000001E-2</v>
      </c>
      <c r="BY42" s="138" t="s">
        <v>78</v>
      </c>
      <c r="BZ42" s="138" t="s">
        <v>78</v>
      </c>
      <c r="CA42" s="138" t="s">
        <v>467</v>
      </c>
      <c r="CB42" s="138" t="s">
        <v>78</v>
      </c>
      <c r="CC42" s="138" t="s">
        <v>78</v>
      </c>
      <c r="CD42" s="138" t="s">
        <v>78</v>
      </c>
      <c r="CE42" s="69" t="s">
        <v>78</v>
      </c>
      <c r="CF42" s="138" t="s">
        <v>78</v>
      </c>
      <c r="CG42" s="138" t="s">
        <v>78</v>
      </c>
      <c r="CH42" s="138" t="s">
        <v>78</v>
      </c>
      <c r="CI42" s="138" t="s">
        <v>78</v>
      </c>
      <c r="CJ42" s="69" t="s">
        <v>78</v>
      </c>
      <c r="CK42" s="138" t="s">
        <v>78</v>
      </c>
      <c r="CL42" s="138" t="s">
        <v>78</v>
      </c>
      <c r="CM42" s="138" t="s">
        <v>78</v>
      </c>
      <c r="CN42" s="138" t="s">
        <v>78</v>
      </c>
      <c r="CO42" s="138" t="s">
        <v>78</v>
      </c>
      <c r="CP42" s="138" t="s">
        <v>78</v>
      </c>
      <c r="CQ42" s="138" t="s">
        <v>78</v>
      </c>
      <c r="CR42" s="138" t="s">
        <v>78</v>
      </c>
      <c r="CS42" s="69" t="s">
        <v>78</v>
      </c>
      <c r="CT42" s="69" t="s">
        <v>78</v>
      </c>
      <c r="CU42" s="17" t="s">
        <v>78</v>
      </c>
      <c r="CV42" s="69" t="s">
        <v>78</v>
      </c>
      <c r="CW42" s="138" t="s">
        <v>78</v>
      </c>
      <c r="CX42" s="138" t="s">
        <v>78</v>
      </c>
      <c r="CY42" s="69" t="s">
        <v>78</v>
      </c>
      <c r="CZ42" s="69" t="s">
        <v>78</v>
      </c>
      <c r="DA42" s="138" t="s">
        <v>78</v>
      </c>
      <c r="DB42" s="138" t="s">
        <v>78</v>
      </c>
      <c r="DC42" s="138" t="s">
        <v>78</v>
      </c>
      <c r="DD42" s="138" t="s">
        <v>78</v>
      </c>
      <c r="DE42" s="137">
        <v>0.01</v>
      </c>
      <c r="DF42" s="138" t="s">
        <v>78</v>
      </c>
      <c r="DG42" s="138" t="s">
        <v>78</v>
      </c>
      <c r="DH42" s="69" t="s">
        <v>78</v>
      </c>
      <c r="DI42" s="98">
        <v>3.0000000000000001E-3</v>
      </c>
      <c r="DJ42" s="138" t="s">
        <v>78</v>
      </c>
      <c r="DK42" s="138" t="s">
        <v>78</v>
      </c>
      <c r="DL42" s="138" t="s">
        <v>78</v>
      </c>
      <c r="DM42" s="138" t="s">
        <v>78</v>
      </c>
      <c r="DN42" s="138" t="s">
        <v>78</v>
      </c>
      <c r="DO42" s="138" t="s">
        <v>78</v>
      </c>
      <c r="DP42" s="315" t="s">
        <v>78</v>
      </c>
      <c r="DQ42" s="45"/>
    </row>
    <row r="43" spans="2:121" ht="16.5" x14ac:dyDescent="0.35">
      <c r="B43" s="128"/>
      <c r="C43" s="34"/>
      <c r="D43" s="41">
        <v>31000105</v>
      </c>
      <c r="E43" s="141" t="s">
        <v>66</v>
      </c>
      <c r="F43" s="54" t="s">
        <v>135</v>
      </c>
      <c r="G43" s="165" t="s">
        <v>183</v>
      </c>
      <c r="H43" s="536" t="s">
        <v>78</v>
      </c>
      <c r="I43" s="69" t="s">
        <v>78</v>
      </c>
      <c r="J43" s="69" t="s">
        <v>78</v>
      </c>
      <c r="K43" s="138" t="s">
        <v>78</v>
      </c>
      <c r="L43" s="69" t="s">
        <v>78</v>
      </c>
      <c r="M43" s="138" t="s">
        <v>78</v>
      </c>
      <c r="N43" s="138" t="s">
        <v>78</v>
      </c>
      <c r="O43" s="138" t="s">
        <v>78</v>
      </c>
      <c r="P43" s="69" t="s">
        <v>78</v>
      </c>
      <c r="Q43" s="69" t="s">
        <v>78</v>
      </c>
      <c r="R43" s="138" t="s">
        <v>78</v>
      </c>
      <c r="S43" s="138" t="s">
        <v>78</v>
      </c>
      <c r="T43" s="17" t="s">
        <v>78</v>
      </c>
      <c r="U43" s="138" t="s">
        <v>78</v>
      </c>
      <c r="V43" s="69" t="s">
        <v>78</v>
      </c>
      <c r="W43" s="138" t="s">
        <v>78</v>
      </c>
      <c r="X43" s="69" t="s">
        <v>78</v>
      </c>
      <c r="Y43" s="138" t="s">
        <v>78</v>
      </c>
      <c r="Z43" s="138" t="s">
        <v>78</v>
      </c>
      <c r="AA43" s="138" t="s">
        <v>78</v>
      </c>
      <c r="AB43" s="138" t="s">
        <v>78</v>
      </c>
      <c r="AC43" s="77" t="s">
        <v>78</v>
      </c>
      <c r="AD43" s="151" t="s">
        <v>78</v>
      </c>
      <c r="AE43" s="69" t="s">
        <v>78</v>
      </c>
      <c r="AF43" s="138" t="s">
        <v>78</v>
      </c>
      <c r="AG43" s="69" t="s">
        <v>78</v>
      </c>
      <c r="AH43" s="138" t="s">
        <v>78</v>
      </c>
      <c r="AI43" s="138" t="s">
        <v>78</v>
      </c>
      <c r="AJ43" s="138" t="s">
        <v>78</v>
      </c>
      <c r="AK43" s="69" t="s">
        <v>78</v>
      </c>
      <c r="AL43" s="138" t="s">
        <v>78</v>
      </c>
      <c r="AM43" s="137">
        <v>1.6E-2</v>
      </c>
      <c r="AN43" s="138" t="s">
        <v>78</v>
      </c>
      <c r="AO43" s="138" t="s">
        <v>78</v>
      </c>
      <c r="AP43" s="69" t="s">
        <v>78</v>
      </c>
      <c r="AQ43" s="69" t="s">
        <v>78</v>
      </c>
      <c r="AR43" s="138" t="s">
        <v>78</v>
      </c>
      <c r="AS43" s="138" t="s">
        <v>78</v>
      </c>
      <c r="AT43" s="138" t="s">
        <v>78</v>
      </c>
      <c r="AU43" s="138" t="s">
        <v>78</v>
      </c>
      <c r="AV43" s="138" t="s">
        <v>78</v>
      </c>
      <c r="AW43" s="138" t="s">
        <v>78</v>
      </c>
      <c r="AX43" s="138" t="s">
        <v>78</v>
      </c>
      <c r="AY43" s="138" t="s">
        <v>78</v>
      </c>
      <c r="AZ43" s="69" t="s">
        <v>78</v>
      </c>
      <c r="BA43" s="138" t="s">
        <v>78</v>
      </c>
      <c r="BB43" s="138" t="s">
        <v>78</v>
      </c>
      <c r="BC43" s="69" t="s">
        <v>78</v>
      </c>
      <c r="BD43" s="69" t="s">
        <v>78</v>
      </c>
      <c r="BE43" s="138" t="s">
        <v>78</v>
      </c>
      <c r="BF43" s="138" t="s">
        <v>78</v>
      </c>
      <c r="BG43" s="138" t="s">
        <v>78</v>
      </c>
      <c r="BH43" s="138" t="s">
        <v>78</v>
      </c>
      <c r="BI43" s="138" t="s">
        <v>78</v>
      </c>
      <c r="BJ43" s="138" t="s">
        <v>78</v>
      </c>
      <c r="BK43" s="69" t="s">
        <v>78</v>
      </c>
      <c r="BL43" s="69" t="s">
        <v>78</v>
      </c>
      <c r="BM43" s="138" t="s">
        <v>78</v>
      </c>
      <c r="BN43" s="138" t="s">
        <v>78</v>
      </c>
      <c r="BO43" s="138" t="s">
        <v>78</v>
      </c>
      <c r="BP43" s="138" t="s">
        <v>78</v>
      </c>
      <c r="BQ43" s="138" t="s">
        <v>78</v>
      </c>
      <c r="BR43" s="138" t="s">
        <v>78</v>
      </c>
      <c r="BS43" s="138" t="s">
        <v>78</v>
      </c>
      <c r="BT43" s="138" t="s">
        <v>78</v>
      </c>
      <c r="BU43" s="138" t="s">
        <v>78</v>
      </c>
      <c r="BV43" s="138" t="s">
        <v>78</v>
      </c>
      <c r="BW43" s="138" t="s">
        <v>78</v>
      </c>
      <c r="BX43" s="137">
        <v>3.2000000000000001E-2</v>
      </c>
      <c r="BY43" s="138" t="s">
        <v>78</v>
      </c>
      <c r="BZ43" s="138" t="s">
        <v>78</v>
      </c>
      <c r="CA43" s="138" t="s">
        <v>467</v>
      </c>
      <c r="CB43" s="138" t="s">
        <v>78</v>
      </c>
      <c r="CC43" s="138" t="s">
        <v>78</v>
      </c>
      <c r="CD43" s="138" t="s">
        <v>78</v>
      </c>
      <c r="CE43" s="69" t="s">
        <v>78</v>
      </c>
      <c r="CF43" s="138" t="s">
        <v>78</v>
      </c>
      <c r="CG43" s="138" t="s">
        <v>78</v>
      </c>
      <c r="CH43" s="138" t="s">
        <v>78</v>
      </c>
      <c r="CI43" s="138" t="s">
        <v>78</v>
      </c>
      <c r="CJ43" s="69" t="s">
        <v>78</v>
      </c>
      <c r="CK43" s="138" t="s">
        <v>78</v>
      </c>
      <c r="CL43" s="138" t="s">
        <v>78</v>
      </c>
      <c r="CM43" s="138" t="s">
        <v>78</v>
      </c>
      <c r="CN43" s="138" t="s">
        <v>78</v>
      </c>
      <c r="CO43" s="138" t="s">
        <v>78</v>
      </c>
      <c r="CP43" s="138" t="s">
        <v>78</v>
      </c>
      <c r="CQ43" s="138" t="s">
        <v>78</v>
      </c>
      <c r="CR43" s="138" t="s">
        <v>78</v>
      </c>
      <c r="CS43" s="69" t="s">
        <v>78</v>
      </c>
      <c r="CT43" s="69" t="s">
        <v>78</v>
      </c>
      <c r="CU43" s="17" t="s">
        <v>78</v>
      </c>
      <c r="CV43" s="69" t="s">
        <v>78</v>
      </c>
      <c r="CW43" s="138" t="s">
        <v>78</v>
      </c>
      <c r="CX43" s="138" t="s">
        <v>78</v>
      </c>
      <c r="CY43" s="69" t="s">
        <v>78</v>
      </c>
      <c r="CZ43" s="69" t="s">
        <v>78</v>
      </c>
      <c r="DA43" s="138" t="s">
        <v>78</v>
      </c>
      <c r="DB43" s="138" t="s">
        <v>78</v>
      </c>
      <c r="DC43" s="138" t="s">
        <v>78</v>
      </c>
      <c r="DD43" s="138" t="s">
        <v>78</v>
      </c>
      <c r="DE43" s="137">
        <v>0.01</v>
      </c>
      <c r="DF43" s="138" t="s">
        <v>78</v>
      </c>
      <c r="DG43" s="138" t="s">
        <v>78</v>
      </c>
      <c r="DH43" s="69" t="s">
        <v>78</v>
      </c>
      <c r="DI43" s="98">
        <v>3.0000000000000001E-3</v>
      </c>
      <c r="DJ43" s="138" t="s">
        <v>78</v>
      </c>
      <c r="DK43" s="138" t="s">
        <v>78</v>
      </c>
      <c r="DL43" s="138" t="s">
        <v>78</v>
      </c>
      <c r="DM43" s="138" t="s">
        <v>78</v>
      </c>
      <c r="DN43" s="138" t="s">
        <v>78</v>
      </c>
      <c r="DO43" s="138" t="s">
        <v>78</v>
      </c>
      <c r="DP43" s="315" t="s">
        <v>78</v>
      </c>
      <c r="DQ43" s="45"/>
    </row>
    <row r="44" spans="2:121" ht="16.5" x14ac:dyDescent="0.35">
      <c r="B44" s="128"/>
      <c r="C44" s="34"/>
      <c r="D44" s="41">
        <v>31000108</v>
      </c>
      <c r="E44" s="141" t="s">
        <v>185</v>
      </c>
      <c r="F44" s="54" t="s">
        <v>135</v>
      </c>
      <c r="G44" s="165" t="s">
        <v>183</v>
      </c>
      <c r="H44" s="536" t="s">
        <v>78</v>
      </c>
      <c r="I44" s="69" t="s">
        <v>78</v>
      </c>
      <c r="J44" s="69" t="s">
        <v>78</v>
      </c>
      <c r="K44" s="138" t="s">
        <v>78</v>
      </c>
      <c r="L44" s="69" t="s">
        <v>78</v>
      </c>
      <c r="M44" s="138" t="s">
        <v>78</v>
      </c>
      <c r="N44" s="138" t="s">
        <v>78</v>
      </c>
      <c r="O44" s="138" t="s">
        <v>78</v>
      </c>
      <c r="P44" s="69" t="s">
        <v>78</v>
      </c>
      <c r="Q44" s="69" t="s">
        <v>78</v>
      </c>
      <c r="R44" s="138" t="s">
        <v>78</v>
      </c>
      <c r="S44" s="138" t="s">
        <v>78</v>
      </c>
      <c r="T44" s="17" t="s">
        <v>78</v>
      </c>
      <c r="U44" s="138" t="s">
        <v>78</v>
      </c>
      <c r="V44" s="69" t="s">
        <v>78</v>
      </c>
      <c r="W44" s="138" t="s">
        <v>78</v>
      </c>
      <c r="X44" s="69" t="s">
        <v>78</v>
      </c>
      <c r="Y44" s="138" t="s">
        <v>78</v>
      </c>
      <c r="Z44" s="138" t="s">
        <v>78</v>
      </c>
      <c r="AA44" s="138" t="s">
        <v>78</v>
      </c>
      <c r="AB44" s="138" t="s">
        <v>78</v>
      </c>
      <c r="AC44" s="77" t="s">
        <v>78</v>
      </c>
      <c r="AD44" s="151" t="s">
        <v>78</v>
      </c>
      <c r="AE44" s="69" t="s">
        <v>78</v>
      </c>
      <c r="AF44" s="138" t="s">
        <v>78</v>
      </c>
      <c r="AG44" s="69" t="s">
        <v>78</v>
      </c>
      <c r="AH44" s="138" t="s">
        <v>78</v>
      </c>
      <c r="AI44" s="138" t="s">
        <v>78</v>
      </c>
      <c r="AJ44" s="138" t="s">
        <v>78</v>
      </c>
      <c r="AK44" s="69" t="s">
        <v>78</v>
      </c>
      <c r="AL44" s="138" t="s">
        <v>78</v>
      </c>
      <c r="AM44" s="137">
        <v>1.6E-2</v>
      </c>
      <c r="AN44" s="138" t="s">
        <v>78</v>
      </c>
      <c r="AO44" s="138" t="s">
        <v>78</v>
      </c>
      <c r="AP44" s="69" t="s">
        <v>78</v>
      </c>
      <c r="AQ44" s="69" t="s">
        <v>78</v>
      </c>
      <c r="AR44" s="138" t="s">
        <v>78</v>
      </c>
      <c r="AS44" s="138" t="s">
        <v>78</v>
      </c>
      <c r="AT44" s="138" t="s">
        <v>78</v>
      </c>
      <c r="AU44" s="138" t="s">
        <v>78</v>
      </c>
      <c r="AV44" s="138" t="s">
        <v>78</v>
      </c>
      <c r="AW44" s="138" t="s">
        <v>78</v>
      </c>
      <c r="AX44" s="138" t="s">
        <v>78</v>
      </c>
      <c r="AY44" s="138" t="s">
        <v>78</v>
      </c>
      <c r="AZ44" s="69" t="s">
        <v>78</v>
      </c>
      <c r="BA44" s="138" t="s">
        <v>78</v>
      </c>
      <c r="BB44" s="138" t="s">
        <v>78</v>
      </c>
      <c r="BC44" s="69" t="s">
        <v>78</v>
      </c>
      <c r="BD44" s="69" t="s">
        <v>78</v>
      </c>
      <c r="BE44" s="138" t="s">
        <v>78</v>
      </c>
      <c r="BF44" s="138" t="s">
        <v>78</v>
      </c>
      <c r="BG44" s="138" t="s">
        <v>78</v>
      </c>
      <c r="BH44" s="138" t="s">
        <v>78</v>
      </c>
      <c r="BI44" s="138" t="s">
        <v>78</v>
      </c>
      <c r="BJ44" s="138" t="s">
        <v>78</v>
      </c>
      <c r="BK44" s="69" t="s">
        <v>78</v>
      </c>
      <c r="BL44" s="69" t="s">
        <v>78</v>
      </c>
      <c r="BM44" s="138" t="s">
        <v>78</v>
      </c>
      <c r="BN44" s="138" t="s">
        <v>78</v>
      </c>
      <c r="BO44" s="138" t="s">
        <v>78</v>
      </c>
      <c r="BP44" s="138" t="s">
        <v>78</v>
      </c>
      <c r="BQ44" s="138" t="s">
        <v>78</v>
      </c>
      <c r="BR44" s="138" t="s">
        <v>78</v>
      </c>
      <c r="BS44" s="138" t="s">
        <v>78</v>
      </c>
      <c r="BT44" s="138" t="s">
        <v>78</v>
      </c>
      <c r="BU44" s="138" t="s">
        <v>78</v>
      </c>
      <c r="BV44" s="138" t="s">
        <v>78</v>
      </c>
      <c r="BW44" s="138" t="s">
        <v>78</v>
      </c>
      <c r="BX44" s="137">
        <v>3.2000000000000001E-2</v>
      </c>
      <c r="BY44" s="138" t="s">
        <v>78</v>
      </c>
      <c r="BZ44" s="138" t="s">
        <v>78</v>
      </c>
      <c r="CA44" s="138" t="s">
        <v>467</v>
      </c>
      <c r="CB44" s="138" t="s">
        <v>78</v>
      </c>
      <c r="CC44" s="138" t="s">
        <v>78</v>
      </c>
      <c r="CD44" s="138" t="s">
        <v>78</v>
      </c>
      <c r="CE44" s="69" t="s">
        <v>78</v>
      </c>
      <c r="CF44" s="138" t="s">
        <v>78</v>
      </c>
      <c r="CG44" s="138" t="s">
        <v>78</v>
      </c>
      <c r="CH44" s="138" t="s">
        <v>78</v>
      </c>
      <c r="CI44" s="138" t="s">
        <v>78</v>
      </c>
      <c r="CJ44" s="69" t="s">
        <v>78</v>
      </c>
      <c r="CK44" s="138" t="s">
        <v>78</v>
      </c>
      <c r="CL44" s="138" t="s">
        <v>78</v>
      </c>
      <c r="CM44" s="138" t="s">
        <v>78</v>
      </c>
      <c r="CN44" s="138" t="s">
        <v>78</v>
      </c>
      <c r="CO44" s="138" t="s">
        <v>78</v>
      </c>
      <c r="CP44" s="138" t="s">
        <v>78</v>
      </c>
      <c r="CQ44" s="138" t="s">
        <v>78</v>
      </c>
      <c r="CR44" s="138" t="s">
        <v>78</v>
      </c>
      <c r="CS44" s="69" t="s">
        <v>78</v>
      </c>
      <c r="CT44" s="69" t="s">
        <v>78</v>
      </c>
      <c r="CU44" s="17" t="s">
        <v>78</v>
      </c>
      <c r="CV44" s="69" t="s">
        <v>78</v>
      </c>
      <c r="CW44" s="138" t="s">
        <v>78</v>
      </c>
      <c r="CX44" s="138" t="s">
        <v>78</v>
      </c>
      <c r="CY44" s="69" t="s">
        <v>78</v>
      </c>
      <c r="CZ44" s="69" t="s">
        <v>78</v>
      </c>
      <c r="DA44" s="138" t="s">
        <v>78</v>
      </c>
      <c r="DB44" s="138" t="s">
        <v>78</v>
      </c>
      <c r="DC44" s="138" t="s">
        <v>78</v>
      </c>
      <c r="DD44" s="138" t="s">
        <v>78</v>
      </c>
      <c r="DE44" s="137">
        <v>0.01</v>
      </c>
      <c r="DF44" s="138" t="s">
        <v>78</v>
      </c>
      <c r="DG44" s="138" t="s">
        <v>78</v>
      </c>
      <c r="DH44" s="69" t="s">
        <v>78</v>
      </c>
      <c r="DI44" s="98">
        <v>3.0000000000000001E-3</v>
      </c>
      <c r="DJ44" s="138" t="s">
        <v>78</v>
      </c>
      <c r="DK44" s="138" t="s">
        <v>78</v>
      </c>
      <c r="DL44" s="138" t="s">
        <v>78</v>
      </c>
      <c r="DM44" s="138" t="s">
        <v>78</v>
      </c>
      <c r="DN44" s="138" t="s">
        <v>78</v>
      </c>
      <c r="DO44" s="138" t="s">
        <v>78</v>
      </c>
      <c r="DP44" s="315" t="s">
        <v>78</v>
      </c>
      <c r="DQ44" s="45"/>
    </row>
    <row r="45" spans="2:121" ht="16.5" x14ac:dyDescent="0.35">
      <c r="B45" s="162"/>
      <c r="C45" s="292"/>
      <c r="D45" s="41">
        <v>31000132</v>
      </c>
      <c r="E45" s="141" t="s">
        <v>186</v>
      </c>
      <c r="F45" s="54" t="s">
        <v>135</v>
      </c>
      <c r="G45" s="165" t="s">
        <v>183</v>
      </c>
      <c r="H45" s="536" t="s">
        <v>78</v>
      </c>
      <c r="I45" s="69" t="s">
        <v>78</v>
      </c>
      <c r="J45" s="69" t="s">
        <v>78</v>
      </c>
      <c r="K45" s="138" t="s">
        <v>78</v>
      </c>
      <c r="L45" s="69" t="s">
        <v>78</v>
      </c>
      <c r="M45" s="138" t="s">
        <v>78</v>
      </c>
      <c r="N45" s="138" t="s">
        <v>78</v>
      </c>
      <c r="O45" s="138" t="s">
        <v>78</v>
      </c>
      <c r="P45" s="69" t="s">
        <v>78</v>
      </c>
      <c r="Q45" s="69" t="s">
        <v>78</v>
      </c>
      <c r="R45" s="138" t="s">
        <v>78</v>
      </c>
      <c r="S45" s="138" t="s">
        <v>78</v>
      </c>
      <c r="T45" s="17" t="s">
        <v>78</v>
      </c>
      <c r="U45" s="138" t="s">
        <v>78</v>
      </c>
      <c r="V45" s="69" t="s">
        <v>78</v>
      </c>
      <c r="W45" s="138" t="s">
        <v>78</v>
      </c>
      <c r="X45" s="69" t="s">
        <v>78</v>
      </c>
      <c r="Y45" s="138" t="s">
        <v>78</v>
      </c>
      <c r="Z45" s="138" t="s">
        <v>78</v>
      </c>
      <c r="AA45" s="138" t="s">
        <v>78</v>
      </c>
      <c r="AB45" s="138" t="s">
        <v>78</v>
      </c>
      <c r="AC45" s="77" t="s">
        <v>78</v>
      </c>
      <c r="AD45" s="151" t="s">
        <v>78</v>
      </c>
      <c r="AE45" s="69" t="s">
        <v>78</v>
      </c>
      <c r="AF45" s="138" t="s">
        <v>78</v>
      </c>
      <c r="AG45" s="69" t="s">
        <v>78</v>
      </c>
      <c r="AH45" s="138" t="s">
        <v>78</v>
      </c>
      <c r="AI45" s="138" t="s">
        <v>78</v>
      </c>
      <c r="AJ45" s="138" t="s">
        <v>78</v>
      </c>
      <c r="AK45" s="69" t="s">
        <v>78</v>
      </c>
      <c r="AL45" s="138" t="s">
        <v>78</v>
      </c>
      <c r="AM45" s="137">
        <v>1.6E-2</v>
      </c>
      <c r="AN45" s="138" t="s">
        <v>78</v>
      </c>
      <c r="AO45" s="138" t="s">
        <v>78</v>
      </c>
      <c r="AP45" s="69" t="s">
        <v>78</v>
      </c>
      <c r="AQ45" s="69" t="s">
        <v>78</v>
      </c>
      <c r="AR45" s="138" t="s">
        <v>78</v>
      </c>
      <c r="AS45" s="138" t="s">
        <v>78</v>
      </c>
      <c r="AT45" s="138" t="s">
        <v>78</v>
      </c>
      <c r="AU45" s="138" t="s">
        <v>78</v>
      </c>
      <c r="AV45" s="138" t="s">
        <v>78</v>
      </c>
      <c r="AW45" s="138" t="s">
        <v>78</v>
      </c>
      <c r="AX45" s="138" t="s">
        <v>78</v>
      </c>
      <c r="AY45" s="138" t="s">
        <v>78</v>
      </c>
      <c r="AZ45" s="69" t="s">
        <v>78</v>
      </c>
      <c r="BA45" s="138" t="s">
        <v>78</v>
      </c>
      <c r="BB45" s="138" t="s">
        <v>78</v>
      </c>
      <c r="BC45" s="69" t="s">
        <v>78</v>
      </c>
      <c r="BD45" s="69" t="s">
        <v>78</v>
      </c>
      <c r="BE45" s="138" t="s">
        <v>78</v>
      </c>
      <c r="BF45" s="138" t="s">
        <v>78</v>
      </c>
      <c r="BG45" s="138" t="s">
        <v>78</v>
      </c>
      <c r="BH45" s="138" t="s">
        <v>78</v>
      </c>
      <c r="BI45" s="138" t="s">
        <v>78</v>
      </c>
      <c r="BJ45" s="138" t="s">
        <v>78</v>
      </c>
      <c r="BK45" s="69" t="s">
        <v>78</v>
      </c>
      <c r="BL45" s="69" t="s">
        <v>78</v>
      </c>
      <c r="BM45" s="138" t="s">
        <v>78</v>
      </c>
      <c r="BN45" s="138" t="s">
        <v>78</v>
      </c>
      <c r="BO45" s="138" t="s">
        <v>78</v>
      </c>
      <c r="BP45" s="138" t="s">
        <v>78</v>
      </c>
      <c r="BQ45" s="138" t="s">
        <v>78</v>
      </c>
      <c r="BR45" s="138" t="s">
        <v>78</v>
      </c>
      <c r="BS45" s="138" t="s">
        <v>78</v>
      </c>
      <c r="BT45" s="138" t="s">
        <v>78</v>
      </c>
      <c r="BU45" s="138" t="s">
        <v>78</v>
      </c>
      <c r="BV45" s="138" t="s">
        <v>78</v>
      </c>
      <c r="BW45" s="138" t="s">
        <v>78</v>
      </c>
      <c r="BX45" s="137">
        <v>3.2000000000000001E-2</v>
      </c>
      <c r="BY45" s="138" t="s">
        <v>78</v>
      </c>
      <c r="BZ45" s="138" t="s">
        <v>78</v>
      </c>
      <c r="CA45" s="138" t="s">
        <v>467</v>
      </c>
      <c r="CB45" s="138" t="s">
        <v>78</v>
      </c>
      <c r="CC45" s="138" t="s">
        <v>78</v>
      </c>
      <c r="CD45" s="138" t="s">
        <v>78</v>
      </c>
      <c r="CE45" s="69" t="s">
        <v>78</v>
      </c>
      <c r="CF45" s="138" t="s">
        <v>78</v>
      </c>
      <c r="CG45" s="138" t="s">
        <v>78</v>
      </c>
      <c r="CH45" s="138" t="s">
        <v>78</v>
      </c>
      <c r="CI45" s="138" t="s">
        <v>78</v>
      </c>
      <c r="CJ45" s="69" t="s">
        <v>78</v>
      </c>
      <c r="CK45" s="138" t="s">
        <v>78</v>
      </c>
      <c r="CL45" s="138" t="s">
        <v>78</v>
      </c>
      <c r="CM45" s="138" t="s">
        <v>78</v>
      </c>
      <c r="CN45" s="138" t="s">
        <v>78</v>
      </c>
      <c r="CO45" s="138" t="s">
        <v>78</v>
      </c>
      <c r="CP45" s="138" t="s">
        <v>78</v>
      </c>
      <c r="CQ45" s="138" t="s">
        <v>78</v>
      </c>
      <c r="CR45" s="138" t="s">
        <v>78</v>
      </c>
      <c r="CS45" s="69" t="s">
        <v>78</v>
      </c>
      <c r="CT45" s="69" t="s">
        <v>78</v>
      </c>
      <c r="CU45" s="17" t="s">
        <v>78</v>
      </c>
      <c r="CV45" s="69" t="s">
        <v>78</v>
      </c>
      <c r="CW45" s="138" t="s">
        <v>78</v>
      </c>
      <c r="CX45" s="138" t="s">
        <v>78</v>
      </c>
      <c r="CY45" s="69" t="s">
        <v>78</v>
      </c>
      <c r="CZ45" s="69" t="s">
        <v>78</v>
      </c>
      <c r="DA45" s="138" t="s">
        <v>78</v>
      </c>
      <c r="DB45" s="138" t="s">
        <v>78</v>
      </c>
      <c r="DC45" s="138" t="s">
        <v>78</v>
      </c>
      <c r="DD45" s="138" t="s">
        <v>78</v>
      </c>
      <c r="DE45" s="137">
        <v>0.01</v>
      </c>
      <c r="DF45" s="138" t="s">
        <v>78</v>
      </c>
      <c r="DG45" s="138" t="s">
        <v>78</v>
      </c>
      <c r="DH45" s="69" t="s">
        <v>78</v>
      </c>
      <c r="DI45" s="98">
        <v>3.0000000000000001E-3</v>
      </c>
      <c r="DJ45" s="138" t="s">
        <v>78</v>
      </c>
      <c r="DK45" s="138" t="s">
        <v>78</v>
      </c>
      <c r="DL45" s="138" t="s">
        <v>78</v>
      </c>
      <c r="DM45" s="138" t="s">
        <v>78</v>
      </c>
      <c r="DN45" s="138" t="s">
        <v>78</v>
      </c>
      <c r="DO45" s="138" t="s">
        <v>78</v>
      </c>
      <c r="DP45" s="315" t="s">
        <v>78</v>
      </c>
      <c r="DQ45" s="45"/>
    </row>
    <row r="46" spans="2:121" ht="16.5" x14ac:dyDescent="0.35">
      <c r="B46" s="162"/>
      <c r="C46" s="292"/>
      <c r="D46" s="41">
        <v>31000506</v>
      </c>
      <c r="E46" s="141" t="s">
        <v>73</v>
      </c>
      <c r="F46" s="54" t="s">
        <v>135</v>
      </c>
      <c r="G46" s="165" t="s">
        <v>183</v>
      </c>
      <c r="H46" s="536" t="s">
        <v>78</v>
      </c>
      <c r="I46" s="69" t="s">
        <v>78</v>
      </c>
      <c r="J46" s="69" t="s">
        <v>78</v>
      </c>
      <c r="K46" s="138" t="s">
        <v>78</v>
      </c>
      <c r="L46" s="69" t="s">
        <v>78</v>
      </c>
      <c r="M46" s="138" t="s">
        <v>78</v>
      </c>
      <c r="N46" s="138" t="s">
        <v>78</v>
      </c>
      <c r="O46" s="138" t="s">
        <v>78</v>
      </c>
      <c r="P46" s="69" t="s">
        <v>78</v>
      </c>
      <c r="Q46" s="69" t="s">
        <v>78</v>
      </c>
      <c r="R46" s="138" t="s">
        <v>78</v>
      </c>
      <c r="S46" s="138" t="s">
        <v>78</v>
      </c>
      <c r="T46" s="17" t="s">
        <v>78</v>
      </c>
      <c r="U46" s="138" t="s">
        <v>78</v>
      </c>
      <c r="V46" s="69" t="s">
        <v>78</v>
      </c>
      <c r="W46" s="138" t="s">
        <v>78</v>
      </c>
      <c r="X46" s="69" t="s">
        <v>78</v>
      </c>
      <c r="Y46" s="138" t="s">
        <v>78</v>
      </c>
      <c r="Z46" s="138" t="s">
        <v>78</v>
      </c>
      <c r="AA46" s="138" t="s">
        <v>78</v>
      </c>
      <c r="AB46" s="138" t="s">
        <v>78</v>
      </c>
      <c r="AC46" s="77" t="s">
        <v>78</v>
      </c>
      <c r="AD46" s="151" t="s">
        <v>78</v>
      </c>
      <c r="AE46" s="69" t="s">
        <v>78</v>
      </c>
      <c r="AF46" s="138" t="s">
        <v>78</v>
      </c>
      <c r="AG46" s="69" t="s">
        <v>78</v>
      </c>
      <c r="AH46" s="138" t="s">
        <v>78</v>
      </c>
      <c r="AI46" s="138" t="s">
        <v>78</v>
      </c>
      <c r="AJ46" s="138" t="s">
        <v>78</v>
      </c>
      <c r="AK46" s="69" t="s">
        <v>78</v>
      </c>
      <c r="AL46" s="138" t="s">
        <v>78</v>
      </c>
      <c r="AM46" s="137">
        <v>1.6E-2</v>
      </c>
      <c r="AN46" s="138" t="s">
        <v>78</v>
      </c>
      <c r="AO46" s="138" t="s">
        <v>78</v>
      </c>
      <c r="AP46" s="69" t="s">
        <v>78</v>
      </c>
      <c r="AQ46" s="69" t="s">
        <v>78</v>
      </c>
      <c r="AR46" s="138" t="s">
        <v>78</v>
      </c>
      <c r="AS46" s="138" t="s">
        <v>78</v>
      </c>
      <c r="AT46" s="138" t="s">
        <v>78</v>
      </c>
      <c r="AU46" s="138" t="s">
        <v>78</v>
      </c>
      <c r="AV46" s="138" t="s">
        <v>78</v>
      </c>
      <c r="AW46" s="138" t="s">
        <v>78</v>
      </c>
      <c r="AX46" s="138" t="s">
        <v>78</v>
      </c>
      <c r="AY46" s="138" t="s">
        <v>78</v>
      </c>
      <c r="AZ46" s="69" t="s">
        <v>78</v>
      </c>
      <c r="BA46" s="138" t="s">
        <v>78</v>
      </c>
      <c r="BB46" s="138" t="s">
        <v>78</v>
      </c>
      <c r="BC46" s="69" t="s">
        <v>78</v>
      </c>
      <c r="BD46" s="69" t="s">
        <v>78</v>
      </c>
      <c r="BE46" s="138" t="s">
        <v>78</v>
      </c>
      <c r="BF46" s="138" t="s">
        <v>78</v>
      </c>
      <c r="BG46" s="138" t="s">
        <v>78</v>
      </c>
      <c r="BH46" s="138" t="s">
        <v>78</v>
      </c>
      <c r="BI46" s="138" t="s">
        <v>78</v>
      </c>
      <c r="BJ46" s="138" t="s">
        <v>78</v>
      </c>
      <c r="BK46" s="69" t="s">
        <v>78</v>
      </c>
      <c r="BL46" s="69" t="s">
        <v>78</v>
      </c>
      <c r="BM46" s="138" t="s">
        <v>78</v>
      </c>
      <c r="BN46" s="138" t="s">
        <v>78</v>
      </c>
      <c r="BO46" s="138" t="s">
        <v>78</v>
      </c>
      <c r="BP46" s="138" t="s">
        <v>78</v>
      </c>
      <c r="BQ46" s="138" t="s">
        <v>78</v>
      </c>
      <c r="BR46" s="138" t="s">
        <v>78</v>
      </c>
      <c r="BS46" s="138" t="s">
        <v>78</v>
      </c>
      <c r="BT46" s="138" t="s">
        <v>78</v>
      </c>
      <c r="BU46" s="138" t="s">
        <v>78</v>
      </c>
      <c r="BV46" s="138" t="s">
        <v>78</v>
      </c>
      <c r="BW46" s="138" t="s">
        <v>78</v>
      </c>
      <c r="BX46" s="137">
        <v>3.2000000000000001E-2</v>
      </c>
      <c r="BY46" s="138" t="s">
        <v>78</v>
      </c>
      <c r="BZ46" s="138" t="s">
        <v>78</v>
      </c>
      <c r="CA46" s="138" t="s">
        <v>467</v>
      </c>
      <c r="CB46" s="138" t="s">
        <v>78</v>
      </c>
      <c r="CC46" s="138" t="s">
        <v>78</v>
      </c>
      <c r="CD46" s="138" t="s">
        <v>78</v>
      </c>
      <c r="CE46" s="69" t="s">
        <v>78</v>
      </c>
      <c r="CF46" s="138" t="s">
        <v>78</v>
      </c>
      <c r="CG46" s="138" t="s">
        <v>78</v>
      </c>
      <c r="CH46" s="138" t="s">
        <v>78</v>
      </c>
      <c r="CI46" s="138" t="s">
        <v>78</v>
      </c>
      <c r="CJ46" s="69" t="s">
        <v>78</v>
      </c>
      <c r="CK46" s="138" t="s">
        <v>78</v>
      </c>
      <c r="CL46" s="138" t="s">
        <v>78</v>
      </c>
      <c r="CM46" s="138" t="s">
        <v>78</v>
      </c>
      <c r="CN46" s="138" t="s">
        <v>78</v>
      </c>
      <c r="CO46" s="138" t="s">
        <v>78</v>
      </c>
      <c r="CP46" s="138" t="s">
        <v>78</v>
      </c>
      <c r="CQ46" s="138" t="s">
        <v>78</v>
      </c>
      <c r="CR46" s="138" t="s">
        <v>78</v>
      </c>
      <c r="CS46" s="69" t="s">
        <v>78</v>
      </c>
      <c r="CT46" s="69" t="s">
        <v>78</v>
      </c>
      <c r="CU46" s="17" t="s">
        <v>78</v>
      </c>
      <c r="CV46" s="69" t="s">
        <v>78</v>
      </c>
      <c r="CW46" s="138" t="s">
        <v>78</v>
      </c>
      <c r="CX46" s="138" t="s">
        <v>78</v>
      </c>
      <c r="CY46" s="69" t="s">
        <v>78</v>
      </c>
      <c r="CZ46" s="69" t="s">
        <v>78</v>
      </c>
      <c r="DA46" s="138" t="s">
        <v>78</v>
      </c>
      <c r="DB46" s="138" t="s">
        <v>78</v>
      </c>
      <c r="DC46" s="138" t="s">
        <v>78</v>
      </c>
      <c r="DD46" s="138" t="s">
        <v>78</v>
      </c>
      <c r="DE46" s="137">
        <v>0.01</v>
      </c>
      <c r="DF46" s="138" t="s">
        <v>78</v>
      </c>
      <c r="DG46" s="138" t="s">
        <v>78</v>
      </c>
      <c r="DH46" s="69" t="s">
        <v>78</v>
      </c>
      <c r="DI46" s="98">
        <v>3.0000000000000001E-3</v>
      </c>
      <c r="DJ46" s="138" t="s">
        <v>78</v>
      </c>
      <c r="DK46" s="138" t="s">
        <v>78</v>
      </c>
      <c r="DL46" s="138" t="s">
        <v>78</v>
      </c>
      <c r="DM46" s="138" t="s">
        <v>78</v>
      </c>
      <c r="DN46" s="138" t="s">
        <v>78</v>
      </c>
      <c r="DO46" s="138" t="s">
        <v>78</v>
      </c>
      <c r="DP46" s="315" t="s">
        <v>78</v>
      </c>
      <c r="DQ46" s="45"/>
    </row>
    <row r="47" spans="2:121" ht="15" thickBot="1" x14ac:dyDescent="0.4">
      <c r="B47" s="126"/>
      <c r="C47" s="282"/>
      <c r="D47" s="8"/>
      <c r="E47" s="163"/>
      <c r="F47" s="54"/>
      <c r="G47" s="165"/>
      <c r="H47" s="537"/>
      <c r="I47" s="69"/>
      <c r="J47" s="69"/>
      <c r="K47" s="138"/>
      <c r="L47" s="69"/>
      <c r="M47" s="138"/>
      <c r="N47" s="138"/>
      <c r="O47" s="138"/>
      <c r="P47" s="69"/>
      <c r="Q47" s="69"/>
      <c r="R47" s="138"/>
      <c r="S47" s="138"/>
      <c r="T47" s="17"/>
      <c r="U47" s="138"/>
      <c r="V47" s="69"/>
      <c r="W47" s="138"/>
      <c r="X47" s="69"/>
      <c r="Y47" s="138"/>
      <c r="Z47" s="138"/>
      <c r="AA47" s="138"/>
      <c r="AB47" s="138"/>
      <c r="AC47" s="77"/>
      <c r="AD47" s="151"/>
      <c r="AE47" s="69"/>
      <c r="AF47" s="138"/>
      <c r="AG47" s="69"/>
      <c r="AH47" s="138"/>
      <c r="AI47" s="138"/>
      <c r="AJ47" s="138"/>
      <c r="AK47" s="69"/>
      <c r="AL47" s="138"/>
      <c r="AM47" s="137"/>
      <c r="AN47" s="138"/>
      <c r="AO47" s="138"/>
      <c r="AP47" s="69"/>
      <c r="AQ47" s="69"/>
      <c r="AR47" s="138"/>
      <c r="AS47" s="138"/>
      <c r="AT47" s="138"/>
      <c r="AU47" s="138"/>
      <c r="AV47" s="138"/>
      <c r="AW47" s="138"/>
      <c r="AX47" s="138"/>
      <c r="AY47" s="138"/>
      <c r="AZ47" s="69"/>
      <c r="BA47" s="138"/>
      <c r="BB47" s="138"/>
      <c r="BC47" s="69"/>
      <c r="BD47" s="69"/>
      <c r="BE47" s="138"/>
      <c r="BF47" s="138"/>
      <c r="BG47" s="138"/>
      <c r="BH47" s="138"/>
      <c r="BI47" s="138"/>
      <c r="BJ47" s="138"/>
      <c r="BK47" s="69"/>
      <c r="BL47" s="69"/>
      <c r="BM47" s="138"/>
      <c r="BN47" s="138"/>
      <c r="BO47" s="138"/>
      <c r="BP47" s="138"/>
      <c r="BQ47" s="138"/>
      <c r="BR47" s="138"/>
      <c r="BS47" s="138"/>
      <c r="BT47" s="138"/>
      <c r="BU47" s="138"/>
      <c r="BV47" s="138"/>
      <c r="BW47" s="138"/>
      <c r="BX47" s="137"/>
      <c r="BY47" s="138"/>
      <c r="BZ47" s="138"/>
      <c r="CA47" s="138"/>
      <c r="CB47" s="138"/>
      <c r="CC47" s="138"/>
      <c r="CD47" s="138"/>
      <c r="CE47" s="69"/>
      <c r="CF47" s="138"/>
      <c r="CG47" s="138"/>
      <c r="CH47" s="138"/>
      <c r="CI47" s="138"/>
      <c r="CJ47" s="69"/>
      <c r="CK47" s="138"/>
      <c r="CL47" s="138"/>
      <c r="CM47" s="138"/>
      <c r="CN47" s="138"/>
      <c r="CO47" s="138"/>
      <c r="CP47" s="138"/>
      <c r="CQ47" s="138"/>
      <c r="CR47" s="138"/>
      <c r="CS47" s="69"/>
      <c r="CT47" s="69"/>
      <c r="CU47" s="17"/>
      <c r="CV47" s="69"/>
      <c r="CW47" s="138"/>
      <c r="CX47" s="138"/>
      <c r="CY47" s="69"/>
      <c r="CZ47" s="69"/>
      <c r="DA47" s="138"/>
      <c r="DB47" s="138"/>
      <c r="DC47" s="138"/>
      <c r="DD47" s="138"/>
      <c r="DE47" s="137"/>
      <c r="DF47" s="138"/>
      <c r="DG47" s="138"/>
      <c r="DH47" s="69"/>
      <c r="DI47" s="69"/>
      <c r="DJ47" s="138"/>
      <c r="DK47" s="138"/>
      <c r="DL47" s="138"/>
      <c r="DM47" s="138"/>
      <c r="DN47" s="138"/>
      <c r="DO47" s="138"/>
      <c r="DP47" s="315"/>
      <c r="DQ47" s="45"/>
    </row>
    <row r="48" spans="2:121" x14ac:dyDescent="0.35">
      <c r="B48" s="117"/>
      <c r="C48" s="280" t="s">
        <v>192</v>
      </c>
      <c r="D48" s="19"/>
      <c r="E48" s="166"/>
      <c r="F48" s="179"/>
      <c r="G48" s="167"/>
      <c r="H48" s="541"/>
      <c r="I48" s="101"/>
      <c r="J48" s="101"/>
      <c r="K48" s="168"/>
      <c r="L48" s="101"/>
      <c r="M48" s="168"/>
      <c r="N48" s="168"/>
      <c r="O48" s="168"/>
      <c r="P48" s="101"/>
      <c r="Q48" s="101"/>
      <c r="R48" s="168"/>
      <c r="S48" s="168"/>
      <c r="T48" s="57"/>
      <c r="U48" s="168"/>
      <c r="V48" s="101"/>
      <c r="W48" s="168"/>
      <c r="X48" s="101"/>
      <c r="Y48" s="168"/>
      <c r="Z48" s="168"/>
      <c r="AA48" s="168"/>
      <c r="AB48" s="168"/>
      <c r="AC48" s="110"/>
      <c r="AD48" s="153"/>
      <c r="AE48" s="101"/>
      <c r="AF48" s="168"/>
      <c r="AG48" s="101"/>
      <c r="AH48" s="168"/>
      <c r="AI48" s="168"/>
      <c r="AJ48" s="168"/>
      <c r="AK48" s="101"/>
      <c r="AL48" s="168"/>
      <c r="AM48" s="169"/>
      <c r="AN48" s="168"/>
      <c r="AO48" s="168"/>
      <c r="AP48" s="101"/>
      <c r="AQ48" s="101"/>
      <c r="AR48" s="168"/>
      <c r="AS48" s="168"/>
      <c r="AT48" s="168"/>
      <c r="AU48" s="168"/>
      <c r="AV48" s="168"/>
      <c r="AW48" s="168"/>
      <c r="AX48" s="168"/>
      <c r="AY48" s="168"/>
      <c r="AZ48" s="101"/>
      <c r="BA48" s="168"/>
      <c r="BB48" s="168"/>
      <c r="BC48" s="101"/>
      <c r="BD48" s="101"/>
      <c r="BE48" s="168"/>
      <c r="BF48" s="168"/>
      <c r="BG48" s="168"/>
      <c r="BH48" s="168"/>
      <c r="BI48" s="168"/>
      <c r="BJ48" s="168"/>
      <c r="BK48" s="101"/>
      <c r="BL48" s="101"/>
      <c r="BM48" s="168"/>
      <c r="BN48" s="168"/>
      <c r="BO48" s="168"/>
      <c r="BP48" s="168"/>
      <c r="BQ48" s="168"/>
      <c r="BR48" s="168"/>
      <c r="BS48" s="168"/>
      <c r="BT48" s="168"/>
      <c r="BU48" s="168"/>
      <c r="BV48" s="168"/>
      <c r="BW48" s="168"/>
      <c r="BX48" s="169"/>
      <c r="BY48" s="168"/>
      <c r="BZ48" s="168"/>
      <c r="CA48" s="168"/>
      <c r="CB48" s="168"/>
      <c r="CC48" s="168"/>
      <c r="CD48" s="168"/>
      <c r="CE48" s="101"/>
      <c r="CF48" s="168"/>
      <c r="CG48" s="168"/>
      <c r="CH48" s="168"/>
      <c r="CI48" s="168"/>
      <c r="CJ48" s="101"/>
      <c r="CK48" s="168"/>
      <c r="CL48" s="168"/>
      <c r="CM48" s="168"/>
      <c r="CN48" s="168"/>
      <c r="CO48" s="168"/>
      <c r="CP48" s="168"/>
      <c r="CQ48" s="168"/>
      <c r="CR48" s="168"/>
      <c r="CS48" s="101"/>
      <c r="CT48" s="101"/>
      <c r="CU48" s="57"/>
      <c r="CV48" s="101"/>
      <c r="CW48" s="168"/>
      <c r="CX48" s="168"/>
      <c r="CY48" s="101"/>
      <c r="CZ48" s="101"/>
      <c r="DA48" s="168"/>
      <c r="DB48" s="168"/>
      <c r="DC48" s="168"/>
      <c r="DD48" s="168"/>
      <c r="DE48" s="169"/>
      <c r="DF48" s="168"/>
      <c r="DG48" s="168"/>
      <c r="DH48" s="101"/>
      <c r="DI48" s="101"/>
      <c r="DJ48" s="168"/>
      <c r="DK48" s="168"/>
      <c r="DL48" s="168"/>
      <c r="DM48" s="168"/>
      <c r="DN48" s="168"/>
      <c r="DO48" s="168"/>
      <c r="DP48" s="318"/>
      <c r="DQ48" s="45"/>
    </row>
    <row r="49" spans="2:141" ht="16.5" x14ac:dyDescent="0.35">
      <c r="B49" s="45"/>
      <c r="D49" s="9">
        <v>31000199</v>
      </c>
      <c r="E49" s="163" t="s">
        <v>131</v>
      </c>
      <c r="F49" s="54" t="s">
        <v>147</v>
      </c>
      <c r="G49" s="165" t="s">
        <v>183</v>
      </c>
      <c r="H49" s="536" t="s">
        <v>78</v>
      </c>
      <c r="I49" s="69" t="s">
        <v>78</v>
      </c>
      <c r="J49" s="69" t="s">
        <v>78</v>
      </c>
      <c r="K49" s="17" t="s">
        <v>78</v>
      </c>
      <c r="L49" s="69" t="s">
        <v>78</v>
      </c>
      <c r="M49" s="17" t="s">
        <v>78</v>
      </c>
      <c r="N49" s="17" t="s">
        <v>78</v>
      </c>
      <c r="O49" s="17" t="s">
        <v>78</v>
      </c>
      <c r="P49" s="69" t="s">
        <v>78</v>
      </c>
      <c r="Q49" s="69" t="s">
        <v>78</v>
      </c>
      <c r="R49" s="17" t="s">
        <v>78</v>
      </c>
      <c r="S49" s="17" t="s">
        <v>78</v>
      </c>
      <c r="T49" s="17" t="s">
        <v>78</v>
      </c>
      <c r="U49" s="17" t="s">
        <v>78</v>
      </c>
      <c r="V49" s="69" t="s">
        <v>78</v>
      </c>
      <c r="W49" s="17" t="s">
        <v>78</v>
      </c>
      <c r="X49" s="69" t="s">
        <v>78</v>
      </c>
      <c r="Y49" s="17" t="s">
        <v>78</v>
      </c>
      <c r="Z49" s="17" t="s">
        <v>78</v>
      </c>
      <c r="AA49" s="17" t="s">
        <v>78</v>
      </c>
      <c r="AB49" s="17" t="s">
        <v>78</v>
      </c>
      <c r="AC49" s="77" t="s">
        <v>78</v>
      </c>
      <c r="AD49" s="151" t="s">
        <v>78</v>
      </c>
      <c r="AE49" s="69" t="s">
        <v>78</v>
      </c>
      <c r="AF49" s="17" t="s">
        <v>78</v>
      </c>
      <c r="AG49" s="69" t="s">
        <v>78</v>
      </c>
      <c r="AH49" s="17" t="s">
        <v>78</v>
      </c>
      <c r="AI49" s="17" t="s">
        <v>78</v>
      </c>
      <c r="AJ49" s="17" t="s">
        <v>78</v>
      </c>
      <c r="AK49" s="69" t="s">
        <v>78</v>
      </c>
      <c r="AL49" s="17" t="s">
        <v>78</v>
      </c>
      <c r="AM49" s="137">
        <v>1E-3</v>
      </c>
      <c r="AN49" s="138" t="s">
        <v>78</v>
      </c>
      <c r="AO49" s="138" t="s">
        <v>78</v>
      </c>
      <c r="AP49" s="69" t="s">
        <v>78</v>
      </c>
      <c r="AQ49" s="69" t="s">
        <v>78</v>
      </c>
      <c r="AR49" s="138" t="s">
        <v>78</v>
      </c>
      <c r="AS49" s="138" t="s">
        <v>78</v>
      </c>
      <c r="AT49" s="138" t="s">
        <v>78</v>
      </c>
      <c r="AU49" s="138" t="s">
        <v>78</v>
      </c>
      <c r="AV49" s="138" t="s">
        <v>78</v>
      </c>
      <c r="AW49" s="138" t="s">
        <v>78</v>
      </c>
      <c r="AX49" s="138" t="s">
        <v>78</v>
      </c>
      <c r="AY49" s="138" t="s">
        <v>78</v>
      </c>
      <c r="AZ49" s="69" t="s">
        <v>78</v>
      </c>
      <c r="BA49" s="138" t="s">
        <v>78</v>
      </c>
      <c r="BB49" s="138" t="s">
        <v>78</v>
      </c>
      <c r="BC49" s="69" t="s">
        <v>78</v>
      </c>
      <c r="BD49" s="69" t="s">
        <v>78</v>
      </c>
      <c r="BE49" s="138" t="s">
        <v>78</v>
      </c>
      <c r="BF49" s="138" t="s">
        <v>78</v>
      </c>
      <c r="BG49" s="138" t="s">
        <v>78</v>
      </c>
      <c r="BH49" s="138" t="s">
        <v>78</v>
      </c>
      <c r="BI49" s="138" t="s">
        <v>78</v>
      </c>
      <c r="BJ49" s="138" t="s">
        <v>78</v>
      </c>
      <c r="BK49" s="69" t="s">
        <v>78</v>
      </c>
      <c r="BL49" s="69" t="s">
        <v>78</v>
      </c>
      <c r="BM49" s="138" t="s">
        <v>78</v>
      </c>
      <c r="BN49" s="138" t="s">
        <v>78</v>
      </c>
      <c r="BO49" s="138" t="s">
        <v>78</v>
      </c>
      <c r="BP49" s="138" t="s">
        <v>78</v>
      </c>
      <c r="BQ49" s="138" t="s">
        <v>78</v>
      </c>
      <c r="BR49" s="138" t="s">
        <v>78</v>
      </c>
      <c r="BS49" s="138" t="s">
        <v>78</v>
      </c>
      <c r="BT49" s="138" t="s">
        <v>78</v>
      </c>
      <c r="BU49" s="138" t="s">
        <v>78</v>
      </c>
      <c r="BV49" s="138" t="s">
        <v>78</v>
      </c>
      <c r="BW49" s="138" t="s">
        <v>78</v>
      </c>
      <c r="BX49" s="137">
        <v>9.9000000000000005E-2</v>
      </c>
      <c r="BY49" s="138" t="s">
        <v>78</v>
      </c>
      <c r="BZ49" s="138" t="s">
        <v>78</v>
      </c>
      <c r="CA49" s="138" t="s">
        <v>467</v>
      </c>
      <c r="CB49" s="138" t="s">
        <v>78</v>
      </c>
      <c r="CC49" s="138" t="s">
        <v>78</v>
      </c>
      <c r="CD49" s="138" t="s">
        <v>78</v>
      </c>
      <c r="CE49" s="69" t="s">
        <v>78</v>
      </c>
      <c r="CF49" s="138" t="s">
        <v>78</v>
      </c>
      <c r="CG49" s="138" t="s">
        <v>78</v>
      </c>
      <c r="CH49" s="138" t="s">
        <v>78</v>
      </c>
      <c r="CI49" s="138" t="s">
        <v>78</v>
      </c>
      <c r="CJ49" s="69" t="s">
        <v>78</v>
      </c>
      <c r="CK49" s="138" t="s">
        <v>78</v>
      </c>
      <c r="CL49" s="138" t="s">
        <v>78</v>
      </c>
      <c r="CM49" s="138" t="s">
        <v>78</v>
      </c>
      <c r="CN49" s="138" t="s">
        <v>78</v>
      </c>
      <c r="CO49" s="138" t="s">
        <v>78</v>
      </c>
      <c r="CP49" s="138" t="s">
        <v>78</v>
      </c>
      <c r="CQ49" s="138" t="s">
        <v>78</v>
      </c>
      <c r="CR49" s="138" t="s">
        <v>78</v>
      </c>
      <c r="CS49" s="69" t="s">
        <v>78</v>
      </c>
      <c r="CT49" s="69" t="s">
        <v>78</v>
      </c>
      <c r="CU49" s="17" t="s">
        <v>78</v>
      </c>
      <c r="CV49" s="69" t="s">
        <v>78</v>
      </c>
      <c r="CW49" s="138" t="s">
        <v>78</v>
      </c>
      <c r="CX49" s="138" t="s">
        <v>78</v>
      </c>
      <c r="CY49" s="69" t="s">
        <v>78</v>
      </c>
      <c r="CZ49" s="69" t="s">
        <v>78</v>
      </c>
      <c r="DA49" s="138" t="s">
        <v>78</v>
      </c>
      <c r="DB49" s="138" t="s">
        <v>78</v>
      </c>
      <c r="DC49" s="138" t="s">
        <v>78</v>
      </c>
      <c r="DD49" s="138" t="s">
        <v>78</v>
      </c>
      <c r="DE49" s="138" t="s">
        <v>78</v>
      </c>
      <c r="DF49" s="17" t="s">
        <v>78</v>
      </c>
      <c r="DG49" s="17" t="s">
        <v>78</v>
      </c>
      <c r="DH49" s="69" t="s">
        <v>78</v>
      </c>
      <c r="DI49" s="98">
        <v>8.6999999999999994E-2</v>
      </c>
      <c r="DJ49" s="17" t="s">
        <v>78</v>
      </c>
      <c r="DK49" s="17" t="s">
        <v>78</v>
      </c>
      <c r="DL49" s="17" t="s">
        <v>78</v>
      </c>
      <c r="DM49" s="17" t="s">
        <v>78</v>
      </c>
      <c r="DN49" s="17" t="s">
        <v>78</v>
      </c>
      <c r="DO49" s="17" t="s">
        <v>78</v>
      </c>
      <c r="DP49" s="52" t="s">
        <v>78</v>
      </c>
      <c r="DQ49" s="14"/>
      <c r="DR49" s="8"/>
      <c r="DS49" s="8"/>
      <c r="DT49" s="8"/>
      <c r="DU49" s="8"/>
      <c r="DV49" s="8"/>
      <c r="DW49" s="8"/>
      <c r="DX49" s="8"/>
      <c r="DY49" s="8"/>
      <c r="DZ49" s="8"/>
      <c r="EA49" s="8"/>
      <c r="EB49" s="8"/>
      <c r="EC49" s="8"/>
      <c r="ED49" s="8"/>
      <c r="EE49" s="8"/>
      <c r="EF49" s="8"/>
      <c r="EG49" s="8"/>
      <c r="EH49" s="8"/>
      <c r="EI49" s="8"/>
      <c r="EJ49" s="8"/>
      <c r="EK49" s="8"/>
    </row>
    <row r="50" spans="2:141" ht="16.5" x14ac:dyDescent="0.35">
      <c r="B50" s="124"/>
      <c r="C50" s="222"/>
      <c r="D50" s="24" t="s">
        <v>215</v>
      </c>
      <c r="E50" s="140" t="s">
        <v>132</v>
      </c>
      <c r="F50" s="54" t="s">
        <v>134</v>
      </c>
      <c r="G50" s="165" t="s">
        <v>183</v>
      </c>
      <c r="H50" s="536" t="s">
        <v>78</v>
      </c>
      <c r="I50" s="69" t="s">
        <v>78</v>
      </c>
      <c r="J50" s="69" t="s">
        <v>78</v>
      </c>
      <c r="K50" s="17" t="s">
        <v>78</v>
      </c>
      <c r="L50" s="69" t="s">
        <v>78</v>
      </c>
      <c r="M50" s="17" t="s">
        <v>78</v>
      </c>
      <c r="N50" s="17" t="s">
        <v>78</v>
      </c>
      <c r="O50" s="17" t="s">
        <v>78</v>
      </c>
      <c r="P50" s="69" t="s">
        <v>78</v>
      </c>
      <c r="Q50" s="69" t="s">
        <v>78</v>
      </c>
      <c r="R50" s="17" t="s">
        <v>78</v>
      </c>
      <c r="S50" s="17" t="s">
        <v>78</v>
      </c>
      <c r="T50" s="17" t="s">
        <v>78</v>
      </c>
      <c r="U50" s="17" t="s">
        <v>78</v>
      </c>
      <c r="V50" s="69" t="s">
        <v>78</v>
      </c>
      <c r="W50" s="17" t="s">
        <v>78</v>
      </c>
      <c r="X50" s="69" t="s">
        <v>78</v>
      </c>
      <c r="Y50" s="17" t="s">
        <v>78</v>
      </c>
      <c r="Z50" s="17" t="s">
        <v>78</v>
      </c>
      <c r="AA50" s="17" t="s">
        <v>78</v>
      </c>
      <c r="AB50" s="17" t="s">
        <v>78</v>
      </c>
      <c r="AC50" s="77" t="s">
        <v>78</v>
      </c>
      <c r="AD50" s="151" t="s">
        <v>78</v>
      </c>
      <c r="AE50" s="69" t="s">
        <v>78</v>
      </c>
      <c r="AF50" s="17" t="s">
        <v>78</v>
      </c>
      <c r="AG50" s="69" t="s">
        <v>78</v>
      </c>
      <c r="AH50" s="17" t="s">
        <v>78</v>
      </c>
      <c r="AI50" s="17" t="s">
        <v>78</v>
      </c>
      <c r="AJ50" s="17" t="s">
        <v>78</v>
      </c>
      <c r="AK50" s="69" t="s">
        <v>78</v>
      </c>
      <c r="AL50" s="17" t="s">
        <v>78</v>
      </c>
      <c r="AM50" s="137">
        <v>1E-3</v>
      </c>
      <c r="AN50" s="138" t="s">
        <v>78</v>
      </c>
      <c r="AO50" s="138" t="s">
        <v>78</v>
      </c>
      <c r="AP50" s="69" t="s">
        <v>78</v>
      </c>
      <c r="AQ50" s="69" t="s">
        <v>78</v>
      </c>
      <c r="AR50" s="138" t="s">
        <v>78</v>
      </c>
      <c r="AS50" s="138" t="s">
        <v>78</v>
      </c>
      <c r="AT50" s="138" t="s">
        <v>78</v>
      </c>
      <c r="AU50" s="138" t="s">
        <v>78</v>
      </c>
      <c r="AV50" s="138" t="s">
        <v>78</v>
      </c>
      <c r="AW50" s="138" t="s">
        <v>78</v>
      </c>
      <c r="AX50" s="138" t="s">
        <v>78</v>
      </c>
      <c r="AY50" s="138" t="s">
        <v>78</v>
      </c>
      <c r="AZ50" s="69" t="s">
        <v>78</v>
      </c>
      <c r="BA50" s="138" t="s">
        <v>78</v>
      </c>
      <c r="BB50" s="138" t="s">
        <v>78</v>
      </c>
      <c r="BC50" s="69" t="s">
        <v>78</v>
      </c>
      <c r="BD50" s="69" t="s">
        <v>78</v>
      </c>
      <c r="BE50" s="138" t="s">
        <v>78</v>
      </c>
      <c r="BF50" s="138" t="s">
        <v>78</v>
      </c>
      <c r="BG50" s="138" t="s">
        <v>78</v>
      </c>
      <c r="BH50" s="138" t="s">
        <v>78</v>
      </c>
      <c r="BI50" s="138" t="s">
        <v>78</v>
      </c>
      <c r="BJ50" s="138" t="s">
        <v>78</v>
      </c>
      <c r="BK50" s="69" t="s">
        <v>78</v>
      </c>
      <c r="BL50" s="69" t="s">
        <v>78</v>
      </c>
      <c r="BM50" s="138" t="s">
        <v>78</v>
      </c>
      <c r="BN50" s="138" t="s">
        <v>78</v>
      </c>
      <c r="BO50" s="138" t="s">
        <v>78</v>
      </c>
      <c r="BP50" s="138" t="s">
        <v>78</v>
      </c>
      <c r="BQ50" s="138" t="s">
        <v>78</v>
      </c>
      <c r="BR50" s="138" t="s">
        <v>78</v>
      </c>
      <c r="BS50" s="138" t="s">
        <v>78</v>
      </c>
      <c r="BT50" s="138" t="s">
        <v>78</v>
      </c>
      <c r="BU50" s="138" t="s">
        <v>78</v>
      </c>
      <c r="BV50" s="138" t="s">
        <v>78</v>
      </c>
      <c r="BW50" s="138" t="s">
        <v>78</v>
      </c>
      <c r="BX50" s="137">
        <v>5.1999999999999998E-2</v>
      </c>
      <c r="BY50" s="138" t="s">
        <v>78</v>
      </c>
      <c r="BZ50" s="138" t="s">
        <v>78</v>
      </c>
      <c r="CA50" s="138" t="s">
        <v>467</v>
      </c>
      <c r="CB50" s="138" t="s">
        <v>78</v>
      </c>
      <c r="CC50" s="138" t="s">
        <v>78</v>
      </c>
      <c r="CD50" s="138" t="s">
        <v>78</v>
      </c>
      <c r="CE50" s="69" t="s">
        <v>78</v>
      </c>
      <c r="CF50" s="138" t="s">
        <v>78</v>
      </c>
      <c r="CG50" s="138" t="s">
        <v>78</v>
      </c>
      <c r="CH50" s="138" t="s">
        <v>78</v>
      </c>
      <c r="CI50" s="138" t="s">
        <v>78</v>
      </c>
      <c r="CJ50" s="69" t="s">
        <v>78</v>
      </c>
      <c r="CK50" s="138" t="s">
        <v>78</v>
      </c>
      <c r="CL50" s="138" t="s">
        <v>78</v>
      </c>
      <c r="CM50" s="138" t="s">
        <v>78</v>
      </c>
      <c r="CN50" s="138" t="s">
        <v>78</v>
      </c>
      <c r="CO50" s="138" t="s">
        <v>78</v>
      </c>
      <c r="CP50" s="138" t="s">
        <v>78</v>
      </c>
      <c r="CQ50" s="138" t="s">
        <v>78</v>
      </c>
      <c r="CR50" s="138" t="s">
        <v>78</v>
      </c>
      <c r="CS50" s="69" t="s">
        <v>78</v>
      </c>
      <c r="CT50" s="69" t="s">
        <v>78</v>
      </c>
      <c r="CU50" s="17" t="s">
        <v>78</v>
      </c>
      <c r="CV50" s="69" t="s">
        <v>78</v>
      </c>
      <c r="CW50" s="138" t="s">
        <v>78</v>
      </c>
      <c r="CX50" s="138" t="s">
        <v>78</v>
      </c>
      <c r="CY50" s="69" t="s">
        <v>78</v>
      </c>
      <c r="CZ50" s="69" t="s">
        <v>78</v>
      </c>
      <c r="DA50" s="138" t="s">
        <v>78</v>
      </c>
      <c r="DB50" s="138" t="s">
        <v>78</v>
      </c>
      <c r="DC50" s="138" t="s">
        <v>78</v>
      </c>
      <c r="DD50" s="138" t="s">
        <v>78</v>
      </c>
      <c r="DE50" s="138" t="s">
        <v>78</v>
      </c>
      <c r="DF50" s="17" t="s">
        <v>78</v>
      </c>
      <c r="DG50" s="17" t="s">
        <v>78</v>
      </c>
      <c r="DH50" s="69" t="s">
        <v>78</v>
      </c>
      <c r="DI50" s="98">
        <v>4.5999999999999999E-2</v>
      </c>
      <c r="DJ50" s="17" t="s">
        <v>78</v>
      </c>
      <c r="DK50" s="17" t="s">
        <v>78</v>
      </c>
      <c r="DL50" s="17" t="s">
        <v>78</v>
      </c>
      <c r="DM50" s="17" t="s">
        <v>78</v>
      </c>
      <c r="DN50" s="17" t="s">
        <v>78</v>
      </c>
      <c r="DO50" s="17" t="s">
        <v>78</v>
      </c>
      <c r="DP50" s="52" t="s">
        <v>78</v>
      </c>
      <c r="DQ50" s="14"/>
      <c r="DR50" s="8"/>
      <c r="DS50" s="8"/>
      <c r="DT50" s="8"/>
      <c r="DU50" s="8"/>
      <c r="DV50" s="8"/>
      <c r="DW50" s="8"/>
      <c r="DX50" s="8"/>
      <c r="DY50" s="8"/>
      <c r="DZ50" s="8"/>
      <c r="EA50" s="8"/>
      <c r="EB50" s="8"/>
      <c r="EC50" s="8"/>
      <c r="ED50" s="8"/>
      <c r="EE50" s="8"/>
      <c r="EF50" s="8"/>
      <c r="EG50" s="8"/>
      <c r="EH50" s="8"/>
      <c r="EI50" s="8"/>
      <c r="EJ50" s="8"/>
      <c r="EK50" s="8"/>
    </row>
    <row r="51" spans="2:141" ht="15" thickBot="1" x14ac:dyDescent="0.4">
      <c r="B51" s="127"/>
      <c r="C51" s="283"/>
      <c r="D51" s="3"/>
      <c r="E51" s="170"/>
      <c r="F51" s="180"/>
      <c r="G51" s="56"/>
      <c r="H51" s="529"/>
      <c r="I51" s="99"/>
      <c r="J51" s="99"/>
      <c r="K51" s="53"/>
      <c r="L51" s="99"/>
      <c r="M51" s="53"/>
      <c r="N51" s="53"/>
      <c r="O51" s="53"/>
      <c r="P51" s="99"/>
      <c r="Q51" s="99"/>
      <c r="R51" s="53"/>
      <c r="S51" s="53"/>
      <c r="T51" s="53"/>
      <c r="U51" s="53"/>
      <c r="V51" s="99"/>
      <c r="W51" s="53"/>
      <c r="X51" s="99"/>
      <c r="Y51" s="53"/>
      <c r="Z51" s="53"/>
      <c r="AA51" s="53"/>
      <c r="AB51" s="53"/>
      <c r="AC51" s="109"/>
      <c r="AD51" s="177"/>
      <c r="AE51" s="99"/>
      <c r="AF51" s="53"/>
      <c r="AG51" s="99"/>
      <c r="AH51" s="53"/>
      <c r="AI51" s="53"/>
      <c r="AJ51" s="53"/>
      <c r="AK51" s="99"/>
      <c r="AL51" s="53"/>
      <c r="AM51" s="105"/>
      <c r="AN51" s="53"/>
      <c r="AO51" s="53"/>
      <c r="AP51" s="99"/>
      <c r="AQ51" s="99"/>
      <c r="AR51" s="53"/>
      <c r="AS51" s="53"/>
      <c r="AT51" s="53"/>
      <c r="AU51" s="53"/>
      <c r="AV51" s="53"/>
      <c r="AW51" s="53"/>
      <c r="AX51" s="53"/>
      <c r="AY51" s="53"/>
      <c r="AZ51" s="99"/>
      <c r="BA51" s="53"/>
      <c r="BB51" s="53"/>
      <c r="BC51" s="99"/>
      <c r="BD51" s="99"/>
      <c r="BE51" s="53"/>
      <c r="BF51" s="53"/>
      <c r="BG51" s="53"/>
      <c r="BH51" s="53"/>
      <c r="BI51" s="53"/>
      <c r="BJ51" s="53"/>
      <c r="BK51" s="99"/>
      <c r="BL51" s="99"/>
      <c r="BM51" s="53"/>
      <c r="BN51" s="53"/>
      <c r="BO51" s="53"/>
      <c r="BP51" s="53"/>
      <c r="BQ51" s="53"/>
      <c r="BR51" s="53"/>
      <c r="BS51" s="53"/>
      <c r="BT51" s="53"/>
      <c r="BU51" s="53"/>
      <c r="BV51" s="53"/>
      <c r="BW51" s="53"/>
      <c r="BX51" s="105"/>
      <c r="BY51" s="53"/>
      <c r="BZ51" s="53"/>
      <c r="CA51" s="53"/>
      <c r="CB51" s="53"/>
      <c r="CC51" s="53"/>
      <c r="CD51" s="53"/>
      <c r="CE51" s="99"/>
      <c r="CF51" s="53"/>
      <c r="CG51" s="53"/>
      <c r="CH51" s="53"/>
      <c r="CI51" s="53"/>
      <c r="CJ51" s="99"/>
      <c r="CK51" s="53"/>
      <c r="CL51" s="53"/>
      <c r="CM51" s="53"/>
      <c r="CN51" s="53"/>
      <c r="CO51" s="53"/>
      <c r="CP51" s="53"/>
      <c r="CQ51" s="53"/>
      <c r="CR51" s="53"/>
      <c r="CS51" s="99"/>
      <c r="CT51" s="99"/>
      <c r="CU51" s="53"/>
      <c r="CV51" s="99"/>
      <c r="CW51" s="53"/>
      <c r="CX51" s="53"/>
      <c r="CY51" s="99"/>
      <c r="CZ51" s="99"/>
      <c r="DA51" s="53"/>
      <c r="DB51" s="53"/>
      <c r="DC51" s="53"/>
      <c r="DD51" s="53"/>
      <c r="DE51" s="53"/>
      <c r="DF51" s="53"/>
      <c r="DG51" s="53"/>
      <c r="DH51" s="99"/>
      <c r="DI51" s="99"/>
      <c r="DJ51" s="53"/>
      <c r="DK51" s="53"/>
      <c r="DL51" s="53"/>
      <c r="DM51" s="53"/>
      <c r="DN51" s="53"/>
      <c r="DO51" s="53"/>
      <c r="DP51" s="319"/>
      <c r="DQ51" s="14"/>
      <c r="DR51" s="8"/>
      <c r="DS51" s="8"/>
      <c r="DT51" s="8"/>
      <c r="DU51" s="8"/>
      <c r="DV51" s="8"/>
      <c r="DW51" s="8"/>
      <c r="DX51" s="8"/>
      <c r="DY51" s="8"/>
      <c r="DZ51" s="8"/>
      <c r="EA51" s="8"/>
      <c r="EB51" s="8"/>
      <c r="EC51" s="8"/>
      <c r="ED51" s="8"/>
      <c r="EE51" s="8"/>
      <c r="EF51" s="8"/>
      <c r="EG51" s="8"/>
      <c r="EH51" s="8"/>
      <c r="EI51" s="8"/>
      <c r="EJ51" s="8"/>
      <c r="EK51" s="8"/>
    </row>
    <row r="52" spans="2:141" x14ac:dyDescent="0.35">
      <c r="B52" s="116"/>
      <c r="C52" s="281" t="s">
        <v>193</v>
      </c>
      <c r="D52" s="8"/>
      <c r="E52" s="163"/>
      <c r="F52" s="54"/>
      <c r="G52" s="314"/>
      <c r="H52" s="528"/>
      <c r="I52" s="69"/>
      <c r="J52" s="69"/>
      <c r="K52" s="17"/>
      <c r="L52" s="69"/>
      <c r="M52" s="17"/>
      <c r="N52" s="17"/>
      <c r="O52" s="17"/>
      <c r="P52" s="69"/>
      <c r="Q52" s="69"/>
      <c r="R52" s="17"/>
      <c r="S52" s="17"/>
      <c r="T52" s="17"/>
      <c r="U52" s="17"/>
      <c r="V52" s="69"/>
      <c r="W52" s="17"/>
      <c r="X52" s="69"/>
      <c r="Y52" s="17"/>
      <c r="Z52" s="17"/>
      <c r="AA52" s="17"/>
      <c r="AB52" s="17"/>
      <c r="AC52" s="77"/>
      <c r="AD52" s="151"/>
      <c r="AE52" s="69"/>
      <c r="AF52" s="17"/>
      <c r="AG52" s="69"/>
      <c r="AH52" s="17"/>
      <c r="AI52" s="17"/>
      <c r="AJ52" s="17"/>
      <c r="AK52" s="69"/>
      <c r="AL52" s="17"/>
      <c r="AM52" s="60"/>
      <c r="AN52" s="17"/>
      <c r="AO52" s="17"/>
      <c r="AP52" s="69"/>
      <c r="AQ52" s="69"/>
      <c r="AR52" s="17"/>
      <c r="AS52" s="17"/>
      <c r="AT52" s="17"/>
      <c r="AU52" s="17"/>
      <c r="AV52" s="17"/>
      <c r="AW52" s="17"/>
      <c r="AX52" s="17"/>
      <c r="AY52" s="17"/>
      <c r="AZ52" s="69"/>
      <c r="BA52" s="17"/>
      <c r="BB52" s="17"/>
      <c r="BC52" s="69"/>
      <c r="BD52" s="69"/>
      <c r="BE52" s="17"/>
      <c r="BF52" s="17"/>
      <c r="BG52" s="17"/>
      <c r="BH52" s="17"/>
      <c r="BI52" s="17"/>
      <c r="BJ52" s="17"/>
      <c r="BK52" s="69"/>
      <c r="BL52" s="69"/>
      <c r="BM52" s="17"/>
      <c r="BN52" s="17"/>
      <c r="BO52" s="17"/>
      <c r="BP52" s="17"/>
      <c r="BQ52" s="17"/>
      <c r="BR52" s="17"/>
      <c r="BS52" s="17"/>
      <c r="BT52" s="17"/>
      <c r="BU52" s="17"/>
      <c r="BV52" s="17"/>
      <c r="BW52" s="17"/>
      <c r="BX52" s="60"/>
      <c r="BY52" s="17"/>
      <c r="BZ52" s="17"/>
      <c r="CA52" s="17"/>
      <c r="CB52" s="17"/>
      <c r="CC52" s="17"/>
      <c r="CD52" s="17"/>
      <c r="CE52" s="69"/>
      <c r="CF52" s="17"/>
      <c r="CG52" s="17"/>
      <c r="CH52" s="17"/>
      <c r="CI52" s="17"/>
      <c r="CJ52" s="69"/>
      <c r="CK52" s="17"/>
      <c r="CL52" s="17"/>
      <c r="CM52" s="17"/>
      <c r="CN52" s="17"/>
      <c r="CO52" s="17"/>
      <c r="CP52" s="17"/>
      <c r="CQ52" s="17"/>
      <c r="CR52" s="17"/>
      <c r="CS52" s="69"/>
      <c r="CT52" s="69"/>
      <c r="CU52" s="17"/>
      <c r="CV52" s="69"/>
      <c r="CW52" s="17"/>
      <c r="CX52" s="17"/>
      <c r="CY52" s="69"/>
      <c r="CZ52" s="69"/>
      <c r="DA52" s="17"/>
      <c r="DB52" s="17"/>
      <c r="DC52" s="17"/>
      <c r="DD52" s="17"/>
      <c r="DE52" s="17"/>
      <c r="DF52" s="17"/>
      <c r="DG52" s="17"/>
      <c r="DH52" s="69"/>
      <c r="DI52" s="69"/>
      <c r="DJ52" s="17"/>
      <c r="DK52" s="17"/>
      <c r="DL52" s="17"/>
      <c r="DM52" s="17"/>
      <c r="DN52" s="17"/>
      <c r="DO52" s="17"/>
      <c r="DP52" s="52"/>
      <c r="DQ52" s="14"/>
      <c r="DR52" s="8"/>
      <c r="DS52" s="8"/>
      <c r="DT52" s="8"/>
      <c r="DU52" s="8"/>
      <c r="DV52" s="8"/>
      <c r="DW52" s="8"/>
      <c r="DX52" s="8"/>
      <c r="DY52" s="8"/>
      <c r="DZ52" s="8"/>
      <c r="EA52" s="8"/>
      <c r="EB52" s="8"/>
      <c r="EC52" s="8"/>
      <c r="ED52" s="8"/>
      <c r="EE52" s="8"/>
      <c r="EF52" s="8"/>
      <c r="EG52" s="8"/>
      <c r="EH52" s="8"/>
      <c r="EI52" s="8"/>
      <c r="EJ52" s="8"/>
      <c r="EK52" s="8"/>
    </row>
    <row r="53" spans="2:141" ht="16.5" x14ac:dyDescent="0.35">
      <c r="B53" s="45"/>
      <c r="E53" s="140" t="s">
        <v>133</v>
      </c>
      <c r="F53" s="54" t="s">
        <v>147</v>
      </c>
      <c r="G53" s="165" t="s">
        <v>183</v>
      </c>
      <c r="H53" s="536" t="s">
        <v>78</v>
      </c>
      <c r="I53" s="69" t="s">
        <v>78</v>
      </c>
      <c r="J53" s="69" t="s">
        <v>78</v>
      </c>
      <c r="K53" s="17" t="s">
        <v>78</v>
      </c>
      <c r="L53" s="69" t="s">
        <v>78</v>
      </c>
      <c r="M53" s="17" t="s">
        <v>78</v>
      </c>
      <c r="N53" s="17" t="s">
        <v>78</v>
      </c>
      <c r="O53" s="17" t="s">
        <v>78</v>
      </c>
      <c r="P53" s="69" t="s">
        <v>78</v>
      </c>
      <c r="Q53" s="69" t="s">
        <v>78</v>
      </c>
      <c r="R53" s="17" t="s">
        <v>78</v>
      </c>
      <c r="S53" s="17" t="s">
        <v>78</v>
      </c>
      <c r="T53" s="17" t="s">
        <v>78</v>
      </c>
      <c r="U53" s="17" t="s">
        <v>78</v>
      </c>
      <c r="V53" s="69" t="s">
        <v>78</v>
      </c>
      <c r="W53" s="17" t="s">
        <v>78</v>
      </c>
      <c r="X53" s="69" t="s">
        <v>78</v>
      </c>
      <c r="Y53" s="17" t="s">
        <v>78</v>
      </c>
      <c r="Z53" s="17" t="s">
        <v>78</v>
      </c>
      <c r="AA53" s="17" t="s">
        <v>78</v>
      </c>
      <c r="AB53" s="17" t="s">
        <v>78</v>
      </c>
      <c r="AC53" s="77" t="s">
        <v>78</v>
      </c>
      <c r="AD53" s="151" t="s">
        <v>78</v>
      </c>
      <c r="AE53" s="69" t="s">
        <v>78</v>
      </c>
      <c r="AF53" s="17" t="s">
        <v>78</v>
      </c>
      <c r="AG53" s="69" t="s">
        <v>78</v>
      </c>
      <c r="AH53" s="17" t="s">
        <v>78</v>
      </c>
      <c r="AI53" s="17" t="s">
        <v>78</v>
      </c>
      <c r="AJ53" s="17" t="s">
        <v>78</v>
      </c>
      <c r="AK53" s="69" t="s">
        <v>78</v>
      </c>
      <c r="AL53" s="17" t="s">
        <v>78</v>
      </c>
      <c r="AM53" s="137">
        <v>1E-3</v>
      </c>
      <c r="AN53" s="138" t="s">
        <v>78</v>
      </c>
      <c r="AO53" s="138" t="s">
        <v>78</v>
      </c>
      <c r="AP53" s="69" t="s">
        <v>78</v>
      </c>
      <c r="AQ53" s="69" t="s">
        <v>78</v>
      </c>
      <c r="AR53" s="138" t="s">
        <v>78</v>
      </c>
      <c r="AS53" s="138" t="s">
        <v>78</v>
      </c>
      <c r="AT53" s="138" t="s">
        <v>78</v>
      </c>
      <c r="AU53" s="138" t="s">
        <v>78</v>
      </c>
      <c r="AV53" s="138" t="s">
        <v>78</v>
      </c>
      <c r="AW53" s="138" t="s">
        <v>78</v>
      </c>
      <c r="AX53" s="138" t="s">
        <v>78</v>
      </c>
      <c r="AY53" s="138" t="s">
        <v>78</v>
      </c>
      <c r="AZ53" s="69" t="s">
        <v>78</v>
      </c>
      <c r="BA53" s="138" t="s">
        <v>78</v>
      </c>
      <c r="BB53" s="138" t="s">
        <v>78</v>
      </c>
      <c r="BC53" s="69" t="s">
        <v>78</v>
      </c>
      <c r="BD53" s="69" t="s">
        <v>78</v>
      </c>
      <c r="BE53" s="138" t="s">
        <v>78</v>
      </c>
      <c r="BF53" s="138" t="s">
        <v>78</v>
      </c>
      <c r="BG53" s="138" t="s">
        <v>78</v>
      </c>
      <c r="BH53" s="138" t="s">
        <v>78</v>
      </c>
      <c r="BI53" s="138" t="s">
        <v>78</v>
      </c>
      <c r="BJ53" s="138" t="s">
        <v>78</v>
      </c>
      <c r="BK53" s="69" t="s">
        <v>78</v>
      </c>
      <c r="BL53" s="69" t="s">
        <v>78</v>
      </c>
      <c r="BM53" s="138" t="s">
        <v>78</v>
      </c>
      <c r="BN53" s="138" t="s">
        <v>78</v>
      </c>
      <c r="BO53" s="138" t="s">
        <v>78</v>
      </c>
      <c r="BP53" s="138" t="s">
        <v>78</v>
      </c>
      <c r="BQ53" s="138" t="s">
        <v>78</v>
      </c>
      <c r="BR53" s="138" t="s">
        <v>78</v>
      </c>
      <c r="BS53" s="138" t="s">
        <v>78</v>
      </c>
      <c r="BT53" s="138" t="s">
        <v>78</v>
      </c>
      <c r="BU53" s="138" t="s">
        <v>78</v>
      </c>
      <c r="BV53" s="138" t="s">
        <v>78</v>
      </c>
      <c r="BW53" s="138" t="s">
        <v>78</v>
      </c>
      <c r="BX53" s="137">
        <v>9.9000000000000005E-2</v>
      </c>
      <c r="BY53" s="138" t="s">
        <v>78</v>
      </c>
      <c r="BZ53" s="138" t="s">
        <v>78</v>
      </c>
      <c r="CA53" s="138" t="s">
        <v>467</v>
      </c>
      <c r="CB53" s="138" t="s">
        <v>78</v>
      </c>
      <c r="CC53" s="138" t="s">
        <v>78</v>
      </c>
      <c r="CD53" s="138" t="s">
        <v>78</v>
      </c>
      <c r="CE53" s="69" t="s">
        <v>78</v>
      </c>
      <c r="CF53" s="138" t="s">
        <v>78</v>
      </c>
      <c r="CG53" s="138" t="s">
        <v>78</v>
      </c>
      <c r="CH53" s="138" t="s">
        <v>78</v>
      </c>
      <c r="CI53" s="138" t="s">
        <v>78</v>
      </c>
      <c r="CJ53" s="69" t="s">
        <v>78</v>
      </c>
      <c r="CK53" s="138" t="s">
        <v>78</v>
      </c>
      <c r="CL53" s="138" t="s">
        <v>78</v>
      </c>
      <c r="CM53" s="138" t="s">
        <v>78</v>
      </c>
      <c r="CN53" s="138" t="s">
        <v>78</v>
      </c>
      <c r="CO53" s="138" t="s">
        <v>78</v>
      </c>
      <c r="CP53" s="138" t="s">
        <v>78</v>
      </c>
      <c r="CQ53" s="138" t="s">
        <v>78</v>
      </c>
      <c r="CR53" s="138" t="s">
        <v>78</v>
      </c>
      <c r="CS53" s="69" t="s">
        <v>78</v>
      </c>
      <c r="CT53" s="69" t="s">
        <v>78</v>
      </c>
      <c r="CU53" s="17" t="s">
        <v>78</v>
      </c>
      <c r="CV53" s="69" t="s">
        <v>78</v>
      </c>
      <c r="CW53" s="138" t="s">
        <v>78</v>
      </c>
      <c r="CX53" s="138" t="s">
        <v>78</v>
      </c>
      <c r="CY53" s="69" t="s">
        <v>78</v>
      </c>
      <c r="CZ53" s="69" t="s">
        <v>78</v>
      </c>
      <c r="DA53" s="138" t="s">
        <v>78</v>
      </c>
      <c r="DB53" s="138" t="s">
        <v>78</v>
      </c>
      <c r="DC53" s="138" t="s">
        <v>78</v>
      </c>
      <c r="DD53" s="138" t="s">
        <v>78</v>
      </c>
      <c r="DE53" s="138" t="s">
        <v>78</v>
      </c>
      <c r="DF53" s="17" t="s">
        <v>78</v>
      </c>
      <c r="DG53" s="17" t="s">
        <v>78</v>
      </c>
      <c r="DH53" s="69" t="s">
        <v>78</v>
      </c>
      <c r="DI53" s="98">
        <v>8.6999999999999994E-2</v>
      </c>
      <c r="DJ53" s="17" t="s">
        <v>78</v>
      </c>
      <c r="DK53" s="17" t="s">
        <v>78</v>
      </c>
      <c r="DL53" s="17" t="s">
        <v>78</v>
      </c>
      <c r="DM53" s="17" t="s">
        <v>78</v>
      </c>
      <c r="DN53" s="17" t="s">
        <v>78</v>
      </c>
      <c r="DO53" s="17" t="s">
        <v>78</v>
      </c>
      <c r="DP53" s="52" t="s">
        <v>78</v>
      </c>
      <c r="DQ53" s="14"/>
      <c r="DR53" s="8"/>
      <c r="DS53" s="8"/>
      <c r="DT53" s="8"/>
      <c r="DU53" s="8"/>
      <c r="DV53" s="8"/>
      <c r="DW53" s="8"/>
      <c r="DX53" s="8"/>
      <c r="DY53" s="8"/>
      <c r="DZ53" s="8"/>
      <c r="EA53" s="8"/>
      <c r="EB53" s="8"/>
      <c r="EC53" s="8"/>
      <c r="ED53" s="8"/>
      <c r="EE53" s="8"/>
      <c r="EF53" s="8"/>
      <c r="EG53" s="8"/>
      <c r="EH53" s="8"/>
      <c r="EI53" s="8"/>
      <c r="EJ53" s="8"/>
      <c r="EK53" s="8"/>
    </row>
    <row r="54" spans="2:141" ht="15" thickBot="1" x14ac:dyDescent="0.4">
      <c r="B54" s="15"/>
      <c r="C54" s="3"/>
      <c r="D54" s="3"/>
      <c r="E54" s="4"/>
      <c r="F54" s="180"/>
      <c r="G54" s="56"/>
      <c r="H54" s="529"/>
      <c r="I54" s="70"/>
      <c r="J54" s="70"/>
      <c r="K54" s="3"/>
      <c r="L54" s="70"/>
      <c r="M54" s="3"/>
      <c r="N54" s="3"/>
      <c r="O54" s="3"/>
      <c r="P54" s="70"/>
      <c r="Q54" s="70"/>
      <c r="R54" s="3"/>
      <c r="S54" s="3"/>
      <c r="T54" s="3"/>
      <c r="U54" s="3"/>
      <c r="V54" s="70"/>
      <c r="W54" s="3"/>
      <c r="X54" s="70"/>
      <c r="Y54" s="3"/>
      <c r="Z54" s="3"/>
      <c r="AA54" s="3"/>
      <c r="AB54" s="3"/>
      <c r="AC54" s="75"/>
      <c r="AD54" s="152"/>
      <c r="AE54" s="70"/>
      <c r="AF54" s="3"/>
      <c r="AG54" s="70"/>
      <c r="AH54" s="3"/>
      <c r="AI54" s="3"/>
      <c r="AJ54" s="3"/>
      <c r="AK54" s="70"/>
      <c r="AL54" s="3"/>
      <c r="AM54" s="3"/>
      <c r="AN54" s="3"/>
      <c r="AO54" s="3"/>
      <c r="AP54" s="70"/>
      <c r="AQ54" s="70"/>
      <c r="AR54" s="3"/>
      <c r="AS54" s="3"/>
      <c r="AT54" s="3"/>
      <c r="AU54" s="3"/>
      <c r="AV54" s="3"/>
      <c r="AW54" s="3"/>
      <c r="AX54" s="3"/>
      <c r="AY54" s="3"/>
      <c r="AZ54" s="70"/>
      <c r="BA54" s="3"/>
      <c r="BB54" s="3"/>
      <c r="BC54" s="70"/>
      <c r="BD54" s="70"/>
      <c r="BE54" s="3"/>
      <c r="BF54" s="3"/>
      <c r="BG54" s="3"/>
      <c r="BH54" s="3"/>
      <c r="BI54" s="3"/>
      <c r="BJ54" s="3"/>
      <c r="BK54" s="70"/>
      <c r="BL54" s="70"/>
      <c r="BM54" s="3"/>
      <c r="BN54" s="3"/>
      <c r="BO54" s="3"/>
      <c r="BP54" s="3"/>
      <c r="BQ54" s="3"/>
      <c r="BR54" s="3"/>
      <c r="BS54" s="3"/>
      <c r="BT54" s="3"/>
      <c r="BU54" s="3"/>
      <c r="BV54" s="3"/>
      <c r="BW54" s="3"/>
      <c r="BX54" s="3"/>
      <c r="BY54" s="3"/>
      <c r="BZ54" s="3"/>
      <c r="CA54" s="3"/>
      <c r="CB54" s="3"/>
      <c r="CC54" s="3"/>
      <c r="CD54" s="3"/>
      <c r="CE54" s="70"/>
      <c r="CF54" s="3"/>
      <c r="CG54" s="3"/>
      <c r="CH54" s="3"/>
      <c r="CI54" s="3"/>
      <c r="CJ54" s="70"/>
      <c r="CK54" s="3"/>
      <c r="CL54" s="3"/>
      <c r="CM54" s="3"/>
      <c r="CN54" s="3"/>
      <c r="CO54" s="3"/>
      <c r="CP54" s="3"/>
      <c r="CQ54" s="3"/>
      <c r="CR54" s="3"/>
      <c r="CS54" s="70"/>
      <c r="CT54" s="70"/>
      <c r="CU54" s="3"/>
      <c r="CV54" s="70"/>
      <c r="CW54" s="3"/>
      <c r="CX54" s="3"/>
      <c r="CY54" s="70"/>
      <c r="CZ54" s="70"/>
      <c r="DA54" s="3"/>
      <c r="DB54" s="3"/>
      <c r="DC54" s="3"/>
      <c r="DD54" s="3"/>
      <c r="DE54" s="3"/>
      <c r="DF54" s="3"/>
      <c r="DG54" s="3"/>
      <c r="DH54" s="70"/>
      <c r="DI54" s="70"/>
      <c r="DJ54" s="3"/>
      <c r="DK54" s="3"/>
      <c r="DL54" s="3"/>
      <c r="DM54" s="3"/>
      <c r="DN54" s="3"/>
      <c r="DO54" s="3"/>
      <c r="DP54" s="4"/>
      <c r="DQ54" s="14"/>
      <c r="DR54" s="8"/>
      <c r="DS54" s="8"/>
      <c r="DT54" s="8"/>
      <c r="DU54" s="8"/>
      <c r="DV54" s="8"/>
      <c r="DW54" s="8"/>
      <c r="DX54" s="8"/>
      <c r="DY54" s="8"/>
      <c r="DZ54" s="8"/>
      <c r="EA54" s="8"/>
      <c r="EB54" s="8"/>
      <c r="EC54" s="8"/>
      <c r="ED54" s="8"/>
      <c r="EE54" s="8"/>
      <c r="EF54" s="8"/>
      <c r="EG54" s="8"/>
      <c r="EH54" s="8"/>
      <c r="EI54" s="8"/>
      <c r="EJ54" s="8"/>
      <c r="EK54" s="8"/>
    </row>
    <row r="55" spans="2:141" x14ac:dyDescent="0.35">
      <c r="B55" s="8"/>
      <c r="C55" s="8"/>
      <c r="D55" s="8"/>
      <c r="E55" s="8"/>
      <c r="F55" s="24"/>
      <c r="G55" s="8"/>
      <c r="H55" s="8"/>
      <c r="I55" s="8"/>
      <c r="J55" s="8"/>
      <c r="K55" s="8"/>
      <c r="L55" s="8"/>
      <c r="M55" s="8"/>
      <c r="N55" s="8"/>
      <c r="O55" s="8"/>
      <c r="P55" s="8"/>
      <c r="Q55" s="8"/>
      <c r="R55" s="8"/>
      <c r="S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V55" s="8"/>
      <c r="CW55" s="8"/>
      <c r="CX55" s="8"/>
      <c r="CY55" s="8"/>
      <c r="CZ55" s="8"/>
      <c r="DA55" s="8"/>
      <c r="DB55" s="8"/>
      <c r="DC55" s="8"/>
      <c r="DD55" s="8"/>
      <c r="DE55" s="8"/>
      <c r="DF55" s="8"/>
      <c r="DG55" s="8"/>
      <c r="DH55" s="8"/>
      <c r="DI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row>
    <row r="56" spans="2:141" x14ac:dyDescent="0.35">
      <c r="B56" s="293" t="s">
        <v>143</v>
      </c>
      <c r="C56" s="293"/>
      <c r="D56" s="120"/>
      <c r="E56" s="120"/>
      <c r="F56" s="181"/>
      <c r="G56" s="120"/>
      <c r="H56" s="120"/>
      <c r="I56" s="120"/>
      <c r="J56" s="120"/>
      <c r="K56" s="8"/>
      <c r="L56" s="8"/>
      <c r="M56" s="8"/>
      <c r="N56" s="8"/>
      <c r="O56" s="8"/>
      <c r="P56" s="8"/>
      <c r="Q56" s="8"/>
      <c r="R56" s="8"/>
      <c r="S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V56" s="8"/>
      <c r="CW56" s="8"/>
      <c r="CX56" s="8"/>
      <c r="CY56" s="8"/>
      <c r="CZ56" s="8"/>
      <c r="DA56" s="8"/>
      <c r="DB56" s="8"/>
      <c r="DC56" s="8"/>
      <c r="DD56" s="8"/>
      <c r="DE56" s="8"/>
      <c r="DF56" s="8"/>
      <c r="DG56" s="8"/>
      <c r="DH56" s="8"/>
      <c r="DI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row>
    <row r="57" spans="2:141" x14ac:dyDescent="0.35">
      <c r="B57" s="298" t="s">
        <v>256</v>
      </c>
      <c r="C57" s="288" t="s">
        <v>330</v>
      </c>
      <c r="D57" s="182"/>
      <c r="E57" s="182"/>
      <c r="F57" s="157"/>
      <c r="G57" s="182"/>
      <c r="H57" s="182"/>
      <c r="I57" s="182"/>
      <c r="J57" s="182"/>
      <c r="K57" s="8"/>
      <c r="L57" s="8"/>
      <c r="M57" s="8"/>
      <c r="N57" s="8"/>
      <c r="O57" s="8"/>
      <c r="P57" s="8"/>
      <c r="Q57" s="8"/>
      <c r="R57" s="8"/>
      <c r="S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V57" s="8"/>
      <c r="CW57" s="8"/>
      <c r="CX57" s="8"/>
      <c r="CY57" s="8"/>
      <c r="CZ57" s="8"/>
      <c r="DA57" s="8"/>
      <c r="DB57" s="8"/>
      <c r="DC57" s="8"/>
      <c r="DD57" s="8"/>
      <c r="DE57" s="8"/>
      <c r="DF57" s="8"/>
      <c r="DG57" s="8"/>
      <c r="DH57" s="8"/>
      <c r="DI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row>
    <row r="58" spans="2:141" x14ac:dyDescent="0.35">
      <c r="B58" s="298"/>
      <c r="C58" s="307" t="s">
        <v>212</v>
      </c>
      <c r="D58" s="182"/>
      <c r="E58" s="182"/>
      <c r="F58" s="157"/>
      <c r="G58" s="182"/>
      <c r="H58" s="182"/>
      <c r="I58" s="182"/>
      <c r="J58" s="182"/>
      <c r="K58" s="8"/>
      <c r="L58" s="8"/>
      <c r="M58" s="8"/>
      <c r="N58" s="8"/>
      <c r="O58" s="8"/>
      <c r="P58" s="8"/>
      <c r="Q58" s="8"/>
      <c r="R58" s="8"/>
      <c r="S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V58" s="8"/>
      <c r="CW58" s="8"/>
      <c r="CX58" s="8"/>
      <c r="CY58" s="8"/>
      <c r="CZ58" s="8"/>
      <c r="DA58" s="8"/>
      <c r="DB58" s="8"/>
      <c r="DC58" s="8"/>
      <c r="DD58" s="8"/>
      <c r="DE58" s="8"/>
      <c r="DF58" s="8"/>
      <c r="DG58" s="8"/>
      <c r="DH58" s="8"/>
      <c r="DI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row>
    <row r="59" spans="2:141" x14ac:dyDescent="0.35">
      <c r="B59" s="298" t="s">
        <v>263</v>
      </c>
      <c r="C59" s="288" t="s">
        <v>331</v>
      </c>
      <c r="D59" s="8"/>
      <c r="E59" s="8"/>
      <c r="F59" s="24"/>
      <c r="G59" s="8"/>
      <c r="H59" s="8"/>
      <c r="I59" s="8"/>
      <c r="J59" s="8"/>
      <c r="K59" s="8"/>
      <c r="L59" s="8"/>
      <c r="M59" s="8"/>
      <c r="N59" s="8"/>
      <c r="O59" s="8"/>
      <c r="P59" s="8"/>
      <c r="Q59" s="8"/>
      <c r="R59" s="8"/>
      <c r="S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V59" s="8"/>
      <c r="CW59" s="8"/>
      <c r="CX59" s="8"/>
      <c r="CY59" s="8"/>
      <c r="CZ59" s="8"/>
      <c r="DA59" s="8"/>
      <c r="DB59" s="8"/>
      <c r="DC59" s="8"/>
      <c r="DD59" s="8"/>
      <c r="DE59" s="8"/>
      <c r="DF59" s="8"/>
      <c r="DG59" s="8"/>
      <c r="DH59" s="8"/>
      <c r="DI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row>
    <row r="60" spans="2:141" x14ac:dyDescent="0.35">
      <c r="B60" s="298"/>
      <c r="C60" s="307" t="s">
        <v>212</v>
      </c>
      <c r="D60" s="182"/>
      <c r="E60" s="182"/>
      <c r="F60" s="157"/>
      <c r="G60" s="182"/>
      <c r="H60" s="182"/>
      <c r="I60" s="182"/>
      <c r="J60" s="182"/>
      <c r="K60" s="8"/>
      <c r="L60" s="8"/>
      <c r="M60" s="8"/>
      <c r="N60" s="8"/>
      <c r="O60" s="8"/>
      <c r="P60" s="8"/>
      <c r="Q60" s="8"/>
      <c r="R60" s="8"/>
      <c r="S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V60" s="8"/>
      <c r="CW60" s="8"/>
      <c r="CX60" s="8"/>
      <c r="CY60" s="8"/>
      <c r="CZ60" s="8"/>
      <c r="DA60" s="8"/>
      <c r="DB60" s="8"/>
      <c r="DC60" s="8"/>
      <c r="DD60" s="8"/>
      <c r="DE60" s="8"/>
      <c r="DF60" s="8"/>
      <c r="DG60" s="8"/>
      <c r="DH60" s="8"/>
      <c r="DI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row>
    <row r="61" spans="2:141" ht="26.25" customHeight="1" x14ac:dyDescent="0.35">
      <c r="B61" s="298" t="s">
        <v>264</v>
      </c>
      <c r="C61" s="551" t="s">
        <v>332</v>
      </c>
      <c r="D61" s="551"/>
      <c r="E61" s="551"/>
      <c r="F61" s="551"/>
      <c r="G61" s="551"/>
      <c r="H61" s="285"/>
      <c r="I61" s="220"/>
      <c r="J61" s="220"/>
      <c r="K61" s="8"/>
      <c r="L61" s="8"/>
      <c r="M61" s="8"/>
      <c r="N61" s="8"/>
      <c r="O61" s="8"/>
      <c r="P61" s="8"/>
      <c r="Q61" s="8"/>
      <c r="R61" s="8"/>
      <c r="S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V61" s="8"/>
      <c r="CW61" s="8"/>
      <c r="CX61" s="8"/>
      <c r="CY61" s="8"/>
      <c r="CZ61" s="8"/>
      <c r="DA61" s="8"/>
      <c r="DB61" s="8"/>
      <c r="DC61" s="8"/>
      <c r="DD61" s="8"/>
      <c r="DE61" s="8"/>
      <c r="DF61" s="8"/>
      <c r="DG61" s="8"/>
      <c r="DH61" s="8"/>
      <c r="DI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row>
    <row r="62" spans="2:141" x14ac:dyDescent="0.35">
      <c r="B62" s="298"/>
      <c r="C62" s="307" t="s">
        <v>212</v>
      </c>
      <c r="D62" s="182"/>
      <c r="E62" s="182"/>
      <c r="F62" s="157"/>
      <c r="G62" s="182"/>
      <c r="H62" s="182"/>
      <c r="I62" s="182"/>
      <c r="J62" s="182"/>
      <c r="K62" s="8"/>
      <c r="L62" s="8"/>
      <c r="M62" s="8"/>
      <c r="N62" s="8"/>
      <c r="O62" s="8"/>
      <c r="P62" s="8"/>
      <c r="Q62" s="8"/>
      <c r="R62" s="8"/>
      <c r="S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V62" s="8"/>
      <c r="CW62" s="8"/>
      <c r="CX62" s="8"/>
      <c r="CY62" s="8"/>
      <c r="CZ62" s="8"/>
      <c r="DA62" s="8"/>
      <c r="DB62" s="8"/>
      <c r="DC62" s="8"/>
      <c r="DD62" s="8"/>
      <c r="DE62" s="8"/>
      <c r="DF62" s="8"/>
      <c r="DG62" s="8"/>
      <c r="DH62" s="8"/>
      <c r="DI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row>
    <row r="63" spans="2:141" ht="27" customHeight="1" x14ac:dyDescent="0.35">
      <c r="B63" s="298" t="s">
        <v>265</v>
      </c>
      <c r="C63" s="551" t="s">
        <v>333</v>
      </c>
      <c r="D63" s="551"/>
      <c r="E63" s="551"/>
      <c r="F63" s="551"/>
      <c r="G63" s="551"/>
      <c r="H63" s="285"/>
      <c r="I63" s="220"/>
      <c r="J63" s="220"/>
      <c r="K63" s="8"/>
      <c r="L63" s="8"/>
      <c r="M63" s="8"/>
      <c r="N63" s="8"/>
      <c r="O63" s="8"/>
      <c r="P63" s="8"/>
      <c r="Q63" s="8"/>
      <c r="R63" s="8"/>
      <c r="S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V63" s="8"/>
      <c r="CW63" s="8"/>
      <c r="CX63" s="8"/>
      <c r="CY63" s="8"/>
      <c r="CZ63" s="8"/>
      <c r="DA63" s="8"/>
      <c r="DB63" s="8"/>
      <c r="DC63" s="8"/>
      <c r="DD63" s="8"/>
      <c r="DE63" s="8"/>
      <c r="DF63" s="8"/>
      <c r="DG63" s="8"/>
      <c r="DH63" s="8"/>
      <c r="DI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row>
    <row r="64" spans="2:141" x14ac:dyDescent="0.35">
      <c r="B64" s="297"/>
      <c r="C64" s="307" t="s">
        <v>212</v>
      </c>
      <c r="D64" s="182"/>
      <c r="E64" s="182"/>
      <c r="F64" s="157"/>
      <c r="G64" s="182"/>
      <c r="H64" s="182"/>
      <c r="I64" s="182"/>
      <c r="J64" s="182"/>
      <c r="K64" s="8"/>
      <c r="L64" s="8"/>
      <c r="M64" s="8"/>
      <c r="N64" s="8"/>
      <c r="O64" s="8"/>
      <c r="P64" s="8"/>
      <c r="Q64" s="8"/>
      <c r="R64" s="8"/>
      <c r="S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V64" s="8"/>
      <c r="CW64" s="8"/>
      <c r="CX64" s="8"/>
      <c r="CY64" s="8"/>
      <c r="CZ64" s="8"/>
      <c r="DA64" s="8"/>
      <c r="DB64" s="8"/>
      <c r="DC64" s="8"/>
      <c r="DD64" s="8"/>
      <c r="DE64" s="8"/>
      <c r="DF64" s="8"/>
      <c r="DG64" s="8"/>
      <c r="DH64" s="8"/>
      <c r="DI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row>
    <row r="65" spans="2:141" x14ac:dyDescent="0.35">
      <c r="B65" s="308"/>
      <c r="C65" s="308"/>
      <c r="D65" s="8"/>
      <c r="E65" s="8"/>
      <c r="F65" s="24"/>
      <c r="G65" s="8"/>
      <c r="H65" s="8"/>
      <c r="I65" s="8"/>
      <c r="J65" s="8"/>
      <c r="K65" s="8"/>
      <c r="L65" s="8"/>
      <c r="M65" s="8"/>
      <c r="N65" s="8"/>
      <c r="O65" s="8"/>
      <c r="P65" s="8"/>
      <c r="Q65" s="8"/>
      <c r="R65" s="8"/>
      <c r="S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V65" s="8"/>
      <c r="CW65" s="8"/>
      <c r="CX65" s="8"/>
      <c r="CY65" s="8"/>
      <c r="CZ65" s="8"/>
      <c r="DA65" s="8"/>
      <c r="DB65" s="8"/>
      <c r="DC65" s="8"/>
      <c r="DD65" s="8"/>
      <c r="DE65" s="8"/>
      <c r="DF65" s="8"/>
      <c r="DG65" s="8"/>
      <c r="DH65" s="8"/>
      <c r="DI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row>
    <row r="66" spans="2:141" x14ac:dyDescent="0.35">
      <c r="B66" s="293" t="s">
        <v>84</v>
      </c>
      <c r="C66" s="293"/>
      <c r="D66" s="8"/>
      <c r="E66" s="8"/>
      <c r="F66" s="24"/>
      <c r="G66" s="8"/>
      <c r="H66" s="8"/>
      <c r="I66" s="8"/>
      <c r="J66" s="8"/>
      <c r="K66" s="8"/>
      <c r="L66" s="8"/>
      <c r="M66" s="8"/>
      <c r="N66" s="8"/>
      <c r="O66" s="8"/>
      <c r="P66" s="8"/>
      <c r="Q66" s="8"/>
      <c r="R66" s="8"/>
      <c r="S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V66" s="8"/>
      <c r="CW66" s="8"/>
      <c r="CX66" s="8"/>
      <c r="CY66" s="8"/>
      <c r="CZ66" s="8"/>
      <c r="DA66" s="8"/>
      <c r="DB66" s="8"/>
      <c r="DC66" s="8"/>
      <c r="DD66" s="8"/>
      <c r="DE66" s="8"/>
      <c r="DF66" s="8"/>
      <c r="DG66" s="8"/>
      <c r="DH66" s="8"/>
      <c r="DI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row>
    <row r="67" spans="2:141" x14ac:dyDescent="0.35">
      <c r="B67" s="298" t="s">
        <v>256</v>
      </c>
      <c r="C67" s="287" t="s">
        <v>327</v>
      </c>
      <c r="D67" s="8"/>
      <c r="E67" s="8"/>
      <c r="F67" s="24"/>
      <c r="G67" s="8"/>
      <c r="H67" s="8"/>
      <c r="I67" s="8"/>
      <c r="J67" s="8"/>
      <c r="K67" s="8"/>
      <c r="L67" s="8"/>
      <c r="M67" s="8"/>
      <c r="N67" s="8"/>
      <c r="O67" s="8"/>
      <c r="P67" s="8"/>
      <c r="Q67" s="8"/>
      <c r="R67" s="8"/>
      <c r="S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V67" s="8"/>
      <c r="CW67" s="8"/>
      <c r="CX67" s="8"/>
      <c r="CY67" s="8"/>
      <c r="CZ67" s="8"/>
      <c r="DA67" s="8"/>
      <c r="DB67" s="8"/>
      <c r="DC67" s="8"/>
      <c r="DD67" s="8"/>
      <c r="DE67" s="8"/>
      <c r="DF67" s="8"/>
      <c r="DG67" s="8"/>
      <c r="DH67" s="8"/>
      <c r="DI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row>
    <row r="68" spans="2:141" x14ac:dyDescent="0.35">
      <c r="B68" s="298" t="s">
        <v>263</v>
      </c>
      <c r="C68" s="287" t="s">
        <v>290</v>
      </c>
    </row>
    <row r="69" spans="2:141" x14ac:dyDescent="0.35">
      <c r="B69" s="298" t="s">
        <v>264</v>
      </c>
      <c r="C69" s="287" t="s">
        <v>258</v>
      </c>
    </row>
  </sheetData>
  <sheetProtection algorithmName="SHA-512" hashValue="bni4ouZfNOKTsa0dHSBhEwaY7TkEpy0iITUZeZ7QtGbmNjvrhS7mEdcimdfb0nWBHDNgc279cRFLV9AxY3EEOA==" saltValue="GhXyD3SrLzY0m6qpNOo1tQ==" spinCount="100000" sheet="1" formatCells="0" formatColumns="0" formatRows="0" sort="0" autoFilter="0" pivotTables="0"/>
  <mergeCells count="11">
    <mergeCell ref="C61:G61"/>
    <mergeCell ref="C63:G63"/>
    <mergeCell ref="B1:G1"/>
    <mergeCell ref="AD3:DP3"/>
    <mergeCell ref="G4:G5"/>
    <mergeCell ref="F4:F5"/>
    <mergeCell ref="E4:E5"/>
    <mergeCell ref="D4:D5"/>
    <mergeCell ref="B4:B5"/>
    <mergeCell ref="I3:AC3"/>
    <mergeCell ref="C4:C5"/>
  </mergeCells>
  <phoneticPr fontId="41" type="noConversion"/>
  <hyperlinks>
    <hyperlink ref="C58" r:id="rId1" xr:uid="{00000000-0004-0000-0300-000000000000}"/>
    <hyperlink ref="C60" r:id="rId2" xr:uid="{00000000-0004-0000-0300-000001000000}"/>
    <hyperlink ref="C62" r:id="rId3" xr:uid="{00000000-0004-0000-0300-000002000000}"/>
    <hyperlink ref="C64" r:id="rId4" xr:uid="{00000000-0004-0000-0300-000003000000}"/>
  </hyperlinks>
  <pageMargins left="0.7" right="0.7" top="0.75" bottom="0.75" header="0.3" footer="0.3"/>
  <pageSetup orientation="portrait" horizontalDpi="1200" verticalDpi="1200"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734-90BC-4A1D-A9B0-76E1F5B47A12}">
  <dimension ref="A1:FB45"/>
  <sheetViews>
    <sheetView showGridLines="0" zoomScaleNormal="100" workbookViewId="0">
      <pane xSplit="7" topLeftCell="I1" activePane="topRight" state="frozen"/>
      <selection pane="topRight" activeCell="B1" sqref="B1:G1"/>
    </sheetView>
  </sheetViews>
  <sheetFormatPr defaultRowHeight="14.5" x14ac:dyDescent="0.35"/>
  <cols>
    <col min="1" max="1" width="1.7265625" customWidth="1"/>
    <col min="2" max="2" width="3.7265625" customWidth="1"/>
    <col min="3" max="3" width="16.453125" customWidth="1"/>
    <col min="4" max="4" width="12.7265625" customWidth="1"/>
    <col min="5" max="5" width="87.26953125" customWidth="1"/>
    <col min="6" max="6" width="19.81640625" style="32" customWidth="1"/>
    <col min="7" max="7" width="14.7265625" customWidth="1"/>
    <col min="8" max="8" width="25.1796875" hidden="1" customWidth="1"/>
    <col min="9" max="9" width="11.1796875" bestFit="1" customWidth="1"/>
    <col min="10" max="10" width="10.7265625" bestFit="1" customWidth="1"/>
    <col min="11" max="11" width="8.7265625" customWidth="1"/>
    <col min="12" max="12" width="8.26953125" bestFit="1" customWidth="1"/>
    <col min="13" max="13" width="10.81640625" bestFit="1" customWidth="1"/>
    <col min="14" max="14" width="10.7265625" bestFit="1" customWidth="1"/>
    <col min="15" max="15" width="14.1796875" customWidth="1"/>
    <col min="16" max="16" width="18.1796875" bestFit="1" customWidth="1"/>
    <col min="17" max="17" width="8.26953125" bestFit="1" customWidth="1"/>
    <col min="18" max="18" width="8.54296875" bestFit="1" customWidth="1"/>
    <col min="19" max="19" width="8.26953125" bestFit="1" customWidth="1"/>
    <col min="20" max="20" width="12.7265625" style="8" bestFit="1" customWidth="1"/>
    <col min="21" max="21" width="9.81640625" customWidth="1"/>
    <col min="22" max="22" width="14.26953125" hidden="1" customWidth="1"/>
    <col min="23" max="23" width="8.26953125" bestFit="1" customWidth="1"/>
    <col min="24" max="24" width="12.54296875" bestFit="1" customWidth="1"/>
    <col min="25" max="25" width="10" bestFit="1" customWidth="1"/>
    <col min="26" max="26" width="18.26953125" bestFit="1" customWidth="1"/>
    <col min="27" max="27" width="8.7265625" bestFit="1" customWidth="1"/>
    <col min="28" max="28" width="10.81640625" customWidth="1"/>
    <col min="29" max="29" width="8.26953125" bestFit="1" customWidth="1"/>
    <col min="30" max="30" width="15.453125" hidden="1" customWidth="1"/>
    <col min="31" max="31" width="17.26953125" hidden="1" customWidth="1"/>
    <col min="32" max="32" width="14.54296875" hidden="1" customWidth="1"/>
    <col min="33" max="33" width="12.54296875" hidden="1" customWidth="1"/>
    <col min="34" max="34" width="9.1796875" hidden="1" customWidth="1"/>
    <col min="35" max="35" width="13.26953125" hidden="1" customWidth="1"/>
    <col min="36" max="36" width="10.453125" hidden="1" customWidth="1"/>
    <col min="37" max="37" width="12.453125" hidden="1" customWidth="1"/>
    <col min="38" max="38" width="19.54296875" hidden="1" customWidth="1"/>
    <col min="39" max="39" width="9.1796875" hidden="1" customWidth="1"/>
    <col min="40" max="40" width="16.453125" hidden="1" customWidth="1"/>
    <col min="41" max="41" width="22.81640625" hidden="1" customWidth="1"/>
    <col min="42" max="42" width="16.453125" hidden="1" customWidth="1"/>
    <col min="43" max="43" width="21.453125" hidden="1" customWidth="1"/>
    <col min="44" max="44" width="22.7265625" hidden="1" customWidth="1"/>
    <col min="45" max="45" width="14.7265625" hidden="1" customWidth="1"/>
    <col min="46" max="46" width="17.26953125" hidden="1" customWidth="1"/>
    <col min="47" max="47" width="22.1796875" hidden="1" customWidth="1"/>
    <col min="48" max="48" width="9.1796875" hidden="1" customWidth="1"/>
    <col min="49" max="49" width="15.7265625" hidden="1" customWidth="1"/>
    <col min="50" max="50" width="12.1796875" hidden="1" customWidth="1"/>
    <col min="51" max="52" width="9.81640625" hidden="1" customWidth="1"/>
    <col min="53" max="53" width="23.54296875" hidden="1" customWidth="1"/>
    <col min="54" max="54" width="20" hidden="1" customWidth="1"/>
    <col min="55" max="56" width="21.54296875" hidden="1" customWidth="1"/>
    <col min="57" max="57" width="21.54296875" style="8" hidden="1" customWidth="1"/>
    <col min="58" max="58" width="12.453125" hidden="1" customWidth="1"/>
    <col min="59" max="60" width="14.81640625" hidden="1" customWidth="1"/>
    <col min="61" max="62" width="20.7265625" hidden="1" customWidth="1"/>
    <col min="63" max="63" width="14.26953125" hidden="1" customWidth="1"/>
    <col min="64" max="64" width="9.54296875" hidden="1" customWidth="1"/>
    <col min="65" max="65" width="15.1796875" hidden="1" customWidth="1"/>
    <col min="66" max="66" width="42.81640625" hidden="1" customWidth="1"/>
    <col min="67" max="68" width="39.26953125" hidden="1" customWidth="1"/>
    <col min="69" max="71" width="40.453125" hidden="1" customWidth="1"/>
    <col min="72" max="75" width="36.26953125" hidden="1" customWidth="1"/>
    <col min="76" max="76" width="10.1796875" hidden="1" customWidth="1"/>
    <col min="77" max="77" width="18.7265625" hidden="1" customWidth="1"/>
    <col min="78" max="79" width="19.1796875" hidden="1" customWidth="1"/>
    <col min="80" max="80" width="24.7265625" hidden="1" customWidth="1"/>
    <col min="81" max="81" width="10.54296875" hidden="1" customWidth="1"/>
    <col min="82" max="83" width="17" hidden="1" customWidth="1"/>
    <col min="84" max="84" width="20" hidden="1" customWidth="1"/>
    <col min="85" max="85" width="21.54296875" hidden="1" customWidth="1"/>
    <col min="86" max="86" width="24.453125" hidden="1" customWidth="1"/>
    <col min="87" max="87" width="20.54296875" hidden="1" customWidth="1"/>
    <col min="88" max="88" width="22.7265625" hidden="1" customWidth="1"/>
    <col min="89" max="89" width="13.81640625" hidden="1" customWidth="1"/>
    <col min="90" max="91" width="43.26953125" hidden="1" customWidth="1"/>
    <col min="92" max="92" width="25.81640625" hidden="1" customWidth="1"/>
    <col min="93" max="93" width="39.1796875" hidden="1" customWidth="1"/>
    <col min="94" max="95" width="35.54296875" hidden="1" customWidth="1"/>
    <col min="96" max="96" width="19.453125" hidden="1" customWidth="1"/>
    <col min="97" max="97" width="9.54296875" hidden="1" customWidth="1"/>
    <col min="98" max="98" width="15.1796875" hidden="1" customWidth="1"/>
    <col min="99" max="99" width="8.453125" hidden="1" customWidth="1"/>
    <col min="100" max="100" width="18.1796875" hidden="1" customWidth="1"/>
    <col min="101" max="101" width="11" hidden="1" customWidth="1"/>
    <col min="102" max="102" width="17.453125" hidden="1" customWidth="1"/>
    <col min="103" max="103" width="7.81640625" hidden="1" customWidth="1"/>
    <col min="104" max="104" width="9.453125" hidden="1" customWidth="1"/>
    <col min="105" max="105" width="8.54296875" hidden="1" customWidth="1"/>
    <col min="106" max="106" width="36.7265625" hidden="1" customWidth="1"/>
    <col min="107" max="107" width="33.1796875" hidden="1" customWidth="1"/>
    <col min="108" max="108" width="26.81640625" hidden="1" customWidth="1"/>
    <col min="109" max="109" width="8.81640625" hidden="1" customWidth="1"/>
    <col min="110" max="110" width="18.7265625" hidden="1" customWidth="1"/>
    <col min="111" max="111" width="22.453125" hidden="1" customWidth="1"/>
    <col min="112" max="113" width="24.26953125" hidden="1" customWidth="1"/>
    <col min="114" max="114" width="46.7265625" style="8" hidden="1" customWidth="1"/>
    <col min="115" max="115" width="46" style="8" hidden="1" customWidth="1"/>
    <col min="116" max="116" width="14.7265625" hidden="1" customWidth="1"/>
    <col min="117" max="117" width="20.26953125" hidden="1" customWidth="1"/>
    <col min="118" max="118" width="8.453125" hidden="1" customWidth="1"/>
    <col min="119" max="119" width="10.1796875" hidden="1" customWidth="1"/>
    <col min="120" max="120" width="9.54296875" hidden="1" customWidth="1"/>
  </cols>
  <sheetData>
    <row r="1" spans="2:120" ht="31" x14ac:dyDescent="0.7">
      <c r="B1" s="552" t="s">
        <v>446</v>
      </c>
      <c r="C1" s="552"/>
      <c r="D1" s="552"/>
      <c r="E1" s="552"/>
      <c r="F1" s="552"/>
      <c r="G1" s="552"/>
      <c r="H1" s="506"/>
      <c r="I1" s="32"/>
      <c r="J1" s="32"/>
      <c r="K1" s="32"/>
      <c r="L1" s="32"/>
      <c r="M1" s="32"/>
      <c r="N1" s="32"/>
      <c r="O1" s="32"/>
      <c r="P1" s="32"/>
      <c r="Q1" s="32"/>
      <c r="R1" s="32"/>
      <c r="S1" s="32"/>
      <c r="T1" s="24"/>
      <c r="U1" s="32"/>
      <c r="V1" s="32"/>
      <c r="W1" s="32"/>
      <c r="X1" s="32"/>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196"/>
      <c r="BF1" s="25"/>
      <c r="BG1" s="25"/>
      <c r="BH1" s="25"/>
      <c r="BI1" s="25"/>
      <c r="BJ1" s="25"/>
      <c r="BK1" s="25"/>
      <c r="BL1" s="25"/>
      <c r="BM1" s="32"/>
      <c r="BN1" s="32"/>
      <c r="BO1" s="32"/>
      <c r="BP1" s="32"/>
      <c r="BQ1" s="32"/>
      <c r="BR1" s="32"/>
      <c r="BS1" s="32"/>
      <c r="BT1" s="32"/>
      <c r="BU1" s="32"/>
      <c r="BV1" s="32"/>
      <c r="BW1" s="32"/>
      <c r="BX1" s="32"/>
      <c r="BY1" s="25"/>
      <c r="BZ1" s="25"/>
      <c r="CA1" s="25"/>
      <c r="CB1" s="25"/>
      <c r="CC1" s="25"/>
      <c r="CD1" s="25"/>
      <c r="CE1" s="25"/>
      <c r="CF1" s="25"/>
      <c r="CG1" s="25"/>
      <c r="CH1" s="25"/>
      <c r="CI1" s="25"/>
      <c r="CJ1" s="25"/>
      <c r="CK1" s="25"/>
      <c r="CL1" s="25"/>
      <c r="CM1" s="25"/>
      <c r="CN1" s="25"/>
      <c r="CO1" s="25"/>
      <c r="CP1" s="25"/>
      <c r="CQ1" s="25"/>
      <c r="CR1" s="25"/>
      <c r="CS1" s="32"/>
      <c r="CT1" s="25"/>
      <c r="CU1" s="25"/>
      <c r="CV1" s="25"/>
      <c r="CW1" s="25"/>
      <c r="CX1" s="25"/>
      <c r="CY1" s="25"/>
      <c r="CZ1" s="25"/>
      <c r="DA1" s="25"/>
      <c r="DB1" s="25"/>
      <c r="DC1" s="25"/>
      <c r="DD1" s="32"/>
      <c r="DE1" s="25"/>
      <c r="DF1" s="25"/>
      <c r="DG1" s="25"/>
      <c r="DH1" s="25"/>
      <c r="DI1" s="25"/>
      <c r="DJ1" s="196"/>
      <c r="DK1" s="196"/>
      <c r="DL1" s="25"/>
      <c r="DM1" s="25"/>
      <c r="DN1" s="25"/>
      <c r="DO1" s="25"/>
    </row>
    <row r="2" spans="2:120" ht="13.5" customHeight="1" thickBot="1" x14ac:dyDescent="0.7">
      <c r="D2" s="32"/>
      <c r="I2" s="32"/>
      <c r="J2" s="32"/>
      <c r="K2" s="79"/>
      <c r="L2" s="79"/>
      <c r="M2" s="79"/>
      <c r="N2" s="79"/>
      <c r="O2" s="79"/>
      <c r="P2" s="79"/>
      <c r="Q2" s="79"/>
      <c r="R2" s="79"/>
      <c r="S2" s="79"/>
      <c r="T2" s="197"/>
      <c r="U2" s="79"/>
      <c r="V2" s="79"/>
      <c r="W2" s="79"/>
      <c r="X2" s="79"/>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2"/>
      <c r="BF2" s="26"/>
      <c r="BG2" s="26"/>
      <c r="BH2" s="26"/>
      <c r="BI2" s="26"/>
      <c r="BJ2" s="26"/>
      <c r="BK2" s="26"/>
      <c r="BL2" s="26"/>
      <c r="BM2" s="32"/>
      <c r="BN2" s="32"/>
      <c r="BO2" s="32"/>
      <c r="BP2" s="32"/>
      <c r="BQ2" s="32"/>
      <c r="BR2" s="32"/>
      <c r="BS2" s="32"/>
      <c r="BT2" s="32"/>
      <c r="BU2" s="32"/>
      <c r="BV2" s="32"/>
      <c r="BW2" s="32"/>
      <c r="BX2" s="32"/>
      <c r="BY2" s="26"/>
      <c r="BZ2" s="26"/>
      <c r="CA2" s="26"/>
      <c r="CB2" s="26"/>
      <c r="CC2" s="26"/>
      <c r="CD2" s="26"/>
      <c r="CE2" s="26"/>
      <c r="CF2" s="26"/>
      <c r="CG2" s="26"/>
      <c r="CH2" s="26"/>
      <c r="CI2" s="26"/>
      <c r="CJ2" s="26"/>
      <c r="CK2" s="26"/>
      <c r="CL2" s="26"/>
      <c r="CM2" s="26"/>
      <c r="CN2" s="26"/>
      <c r="CO2" s="26"/>
      <c r="CP2" s="26"/>
      <c r="CQ2" s="26"/>
      <c r="CR2" s="26"/>
      <c r="CS2" s="32"/>
      <c r="CT2" s="26"/>
      <c r="CU2" s="26"/>
      <c r="CV2" s="26"/>
      <c r="CW2" s="26"/>
      <c r="CX2" s="26"/>
      <c r="CY2" s="26"/>
      <c r="CZ2" s="26"/>
      <c r="DA2" s="26"/>
      <c r="DB2" s="26"/>
      <c r="DC2" s="26"/>
      <c r="DD2" s="32"/>
      <c r="DE2" s="26"/>
      <c r="DF2" s="26"/>
      <c r="DG2" s="26"/>
      <c r="DH2" s="26"/>
      <c r="DI2" s="26"/>
      <c r="DJ2" s="22"/>
      <c r="DK2" s="22"/>
      <c r="DL2" s="26"/>
      <c r="DM2" s="26"/>
      <c r="DN2" s="26"/>
      <c r="DO2" s="26"/>
    </row>
    <row r="3" spans="2:120" ht="21.5" thickBot="1" x14ac:dyDescent="0.55000000000000004">
      <c r="B3" s="411"/>
      <c r="H3" s="524" t="s">
        <v>388</v>
      </c>
      <c r="I3" s="572" t="s">
        <v>88</v>
      </c>
      <c r="J3" s="573"/>
      <c r="K3" s="573"/>
      <c r="L3" s="573"/>
      <c r="M3" s="573"/>
      <c r="N3" s="573"/>
      <c r="O3" s="573"/>
      <c r="P3" s="573"/>
      <c r="Q3" s="573"/>
      <c r="R3" s="573"/>
      <c r="S3" s="573"/>
      <c r="T3" s="573"/>
      <c r="U3" s="573"/>
      <c r="V3" s="573"/>
      <c r="W3" s="573"/>
      <c r="X3" s="573"/>
      <c r="Y3" s="573"/>
      <c r="Z3" s="573"/>
      <c r="AA3" s="573"/>
      <c r="AB3" s="573"/>
      <c r="AC3" s="574"/>
      <c r="AD3" s="553" t="s">
        <v>195</v>
      </c>
      <c r="AE3" s="554"/>
      <c r="AF3" s="554"/>
      <c r="AG3" s="554"/>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554"/>
      <c r="BO3" s="554"/>
      <c r="BP3" s="554"/>
      <c r="BQ3" s="554"/>
      <c r="BR3" s="554"/>
      <c r="BS3" s="554"/>
      <c r="BT3" s="554"/>
      <c r="BU3" s="554"/>
      <c r="BV3" s="554"/>
      <c r="BW3" s="554"/>
      <c r="BX3" s="554"/>
      <c r="BY3" s="554"/>
      <c r="BZ3" s="554"/>
      <c r="CA3" s="554"/>
      <c r="CB3" s="554"/>
      <c r="CC3" s="554"/>
      <c r="CD3" s="554"/>
      <c r="CE3" s="554"/>
      <c r="CF3" s="554"/>
      <c r="CG3" s="554"/>
      <c r="CH3" s="554"/>
      <c r="CI3" s="554"/>
      <c r="CJ3" s="554"/>
      <c r="CK3" s="554"/>
      <c r="CL3" s="554"/>
      <c r="CM3" s="554"/>
      <c r="CN3" s="554"/>
      <c r="CO3" s="554"/>
      <c r="CP3" s="554"/>
      <c r="CQ3" s="554"/>
      <c r="CR3" s="554"/>
      <c r="CS3" s="554"/>
      <c r="CT3" s="554"/>
      <c r="CU3" s="554"/>
      <c r="CV3" s="554"/>
      <c r="CW3" s="554"/>
      <c r="CX3" s="554"/>
      <c r="CY3" s="554"/>
      <c r="CZ3" s="554"/>
      <c r="DA3" s="554"/>
      <c r="DB3" s="554"/>
      <c r="DC3" s="554"/>
      <c r="DD3" s="554"/>
      <c r="DE3" s="554"/>
      <c r="DF3" s="554"/>
      <c r="DG3" s="554"/>
      <c r="DH3" s="554"/>
      <c r="DI3" s="554"/>
      <c r="DJ3" s="554"/>
      <c r="DK3" s="554"/>
      <c r="DL3" s="554"/>
      <c r="DM3" s="554"/>
      <c r="DN3" s="554"/>
      <c r="DO3" s="554"/>
      <c r="DP3" s="555"/>
    </row>
    <row r="4" spans="2:120" ht="15.75" customHeight="1" x14ac:dyDescent="0.35">
      <c r="B4" s="568"/>
      <c r="C4" s="556" t="s">
        <v>0</v>
      </c>
      <c r="D4" s="558" t="s">
        <v>326</v>
      </c>
      <c r="E4" s="560" t="s">
        <v>1</v>
      </c>
      <c r="F4" s="562" t="s">
        <v>2</v>
      </c>
      <c r="G4" s="578" t="s">
        <v>142</v>
      </c>
      <c r="H4" s="1" t="s">
        <v>389</v>
      </c>
      <c r="I4" s="187" t="s">
        <v>125</v>
      </c>
      <c r="J4" s="240" t="s">
        <v>254</v>
      </c>
      <c r="K4" s="1" t="s">
        <v>3</v>
      </c>
      <c r="L4" s="67" t="s">
        <v>4</v>
      </c>
      <c r="M4" s="1" t="s">
        <v>5</v>
      </c>
      <c r="N4" s="1" t="s">
        <v>6</v>
      </c>
      <c r="O4" s="1" t="s">
        <v>150</v>
      </c>
      <c r="P4" s="67" t="s">
        <v>151</v>
      </c>
      <c r="Q4" s="322" t="s">
        <v>7</v>
      </c>
      <c r="R4" s="1" t="s">
        <v>8</v>
      </c>
      <c r="S4" s="1" t="s">
        <v>9</v>
      </c>
      <c r="T4" s="1" t="s">
        <v>10</v>
      </c>
      <c r="U4" s="1" t="s">
        <v>11</v>
      </c>
      <c r="V4" s="67" t="s">
        <v>12</v>
      </c>
      <c r="W4" s="1" t="s">
        <v>13</v>
      </c>
      <c r="X4" s="67" t="s">
        <v>127</v>
      </c>
      <c r="Y4" s="1" t="s">
        <v>14</v>
      </c>
      <c r="Z4" s="1" t="s">
        <v>428</v>
      </c>
      <c r="AA4" s="1" t="s">
        <v>348</v>
      </c>
      <c r="AB4" s="1" t="s">
        <v>15</v>
      </c>
      <c r="AC4" s="72" t="s">
        <v>16</v>
      </c>
      <c r="AD4" s="67" t="s">
        <v>17</v>
      </c>
      <c r="AE4" s="67" t="s">
        <v>18</v>
      </c>
      <c r="AF4" s="1" t="s">
        <v>19</v>
      </c>
      <c r="AG4" s="67" t="s">
        <v>120</v>
      </c>
      <c r="AH4" s="1" t="s">
        <v>20</v>
      </c>
      <c r="AI4" s="1" t="s">
        <v>121</v>
      </c>
      <c r="AJ4" s="1" t="s">
        <v>21</v>
      </c>
      <c r="AK4" s="67" t="s">
        <v>22</v>
      </c>
      <c r="AL4" s="1" t="s">
        <v>23</v>
      </c>
      <c r="AM4" s="1" t="s">
        <v>24</v>
      </c>
      <c r="AN4" s="1" t="s">
        <v>25</v>
      </c>
      <c r="AO4" s="1" t="s">
        <v>26</v>
      </c>
      <c r="AP4" s="67" t="s">
        <v>27</v>
      </c>
      <c r="AQ4" s="67" t="s">
        <v>199</v>
      </c>
      <c r="AR4" s="1" t="s">
        <v>28</v>
      </c>
      <c r="AS4" s="1" t="s">
        <v>152</v>
      </c>
      <c r="AT4" s="1" t="s">
        <v>314</v>
      </c>
      <c r="AU4" s="1" t="s">
        <v>29</v>
      </c>
      <c r="AV4" s="1" t="s">
        <v>109</v>
      </c>
      <c r="AW4" s="1" t="s">
        <v>94</v>
      </c>
      <c r="AX4" s="1" t="s">
        <v>30</v>
      </c>
      <c r="AY4" s="1" t="s">
        <v>31</v>
      </c>
      <c r="AZ4" s="67" t="s">
        <v>318</v>
      </c>
      <c r="BA4" s="1" t="s">
        <v>93</v>
      </c>
      <c r="BB4" s="1" t="s">
        <v>178</v>
      </c>
      <c r="BC4" s="67" t="s">
        <v>153</v>
      </c>
      <c r="BD4" s="67" t="s">
        <v>154</v>
      </c>
      <c r="BE4" s="1" t="s">
        <v>220</v>
      </c>
      <c r="BF4" s="1" t="s">
        <v>179</v>
      </c>
      <c r="BG4" s="1" t="s">
        <v>155</v>
      </c>
      <c r="BH4" s="1" t="s">
        <v>316</v>
      </c>
      <c r="BI4" s="1" t="s">
        <v>32</v>
      </c>
      <c r="BJ4" s="1" t="s">
        <v>222</v>
      </c>
      <c r="BK4" s="67" t="s">
        <v>33</v>
      </c>
      <c r="BL4" s="67" t="s">
        <v>34</v>
      </c>
      <c r="BM4" s="1" t="s">
        <v>35</v>
      </c>
      <c r="BN4" s="1" t="s">
        <v>241</v>
      </c>
      <c r="BO4" s="1" t="s">
        <v>243</v>
      </c>
      <c r="BP4" s="1" t="s">
        <v>244</v>
      </c>
      <c r="BQ4" s="1" t="s">
        <v>238</v>
      </c>
      <c r="BR4" s="1" t="s">
        <v>239</v>
      </c>
      <c r="BS4" s="1" t="s">
        <v>240</v>
      </c>
      <c r="BT4" s="1" t="s">
        <v>245</v>
      </c>
      <c r="BU4" s="1" t="s">
        <v>246</v>
      </c>
      <c r="BV4" s="1" t="s">
        <v>247</v>
      </c>
      <c r="BW4" s="1" t="s">
        <v>248</v>
      </c>
      <c r="BX4" s="1" t="s">
        <v>40</v>
      </c>
      <c r="BY4" s="1" t="s">
        <v>90</v>
      </c>
      <c r="BZ4" s="1" t="s">
        <v>224</v>
      </c>
      <c r="CA4" s="322" t="s">
        <v>376</v>
      </c>
      <c r="CB4" s="1" t="s">
        <v>36</v>
      </c>
      <c r="CC4" s="1" t="s">
        <v>37</v>
      </c>
      <c r="CD4" s="1" t="s">
        <v>315</v>
      </c>
      <c r="CE4" s="67" t="s">
        <v>317</v>
      </c>
      <c r="CF4" s="1" t="s">
        <v>92</v>
      </c>
      <c r="CG4" s="1" t="s">
        <v>156</v>
      </c>
      <c r="CH4" s="1" t="s">
        <v>157</v>
      </c>
      <c r="CI4" s="1" t="s">
        <v>38</v>
      </c>
      <c r="CJ4" s="67" t="s">
        <v>158</v>
      </c>
      <c r="CK4" s="1" t="s">
        <v>39</v>
      </c>
      <c r="CL4" s="1" t="s">
        <v>242</v>
      </c>
      <c r="CM4" s="1" t="s">
        <v>249</v>
      </c>
      <c r="CN4" s="1" t="s">
        <v>198</v>
      </c>
      <c r="CO4" s="1" t="s">
        <v>237</v>
      </c>
      <c r="CP4" s="1" t="s">
        <v>250</v>
      </c>
      <c r="CQ4" s="1" t="s">
        <v>251</v>
      </c>
      <c r="CR4" s="1" t="s">
        <v>91</v>
      </c>
      <c r="CS4" s="67" t="s">
        <v>41</v>
      </c>
      <c r="CT4" s="67" t="s">
        <v>42</v>
      </c>
      <c r="CU4" s="322" t="s">
        <v>329</v>
      </c>
      <c r="CV4" s="67" t="s">
        <v>253</v>
      </c>
      <c r="CW4" s="1" t="s">
        <v>82</v>
      </c>
      <c r="CX4" s="1" t="s">
        <v>83</v>
      </c>
      <c r="CY4" s="67" t="s">
        <v>43</v>
      </c>
      <c r="CZ4" s="67" t="s">
        <v>235</v>
      </c>
      <c r="DA4" s="1" t="s">
        <v>44</v>
      </c>
      <c r="DB4" s="1" t="s">
        <v>236</v>
      </c>
      <c r="DC4" s="1" t="s">
        <v>252</v>
      </c>
      <c r="DD4" s="1" t="s">
        <v>160</v>
      </c>
      <c r="DE4" s="1" t="s">
        <v>45</v>
      </c>
      <c r="DF4" s="1" t="s">
        <v>122</v>
      </c>
      <c r="DG4" s="1" t="s">
        <v>161</v>
      </c>
      <c r="DH4" s="67" t="s">
        <v>162</v>
      </c>
      <c r="DI4" s="67" t="s">
        <v>223</v>
      </c>
      <c r="DJ4" s="1" t="s">
        <v>303</v>
      </c>
      <c r="DK4" s="1" t="s">
        <v>304</v>
      </c>
      <c r="DL4" s="1" t="s">
        <v>46</v>
      </c>
      <c r="DM4" s="1" t="s">
        <v>211</v>
      </c>
      <c r="DN4" s="1" t="s">
        <v>163</v>
      </c>
      <c r="DO4" s="1" t="s">
        <v>164</v>
      </c>
      <c r="DP4" s="2" t="s">
        <v>165</v>
      </c>
    </row>
    <row r="5" spans="2:120" ht="15.75" customHeight="1" thickBot="1" x14ac:dyDescent="0.4">
      <c r="B5" s="569"/>
      <c r="C5" s="557"/>
      <c r="D5" s="559"/>
      <c r="E5" s="561"/>
      <c r="F5" s="563"/>
      <c r="G5" s="579"/>
      <c r="H5" s="5">
        <v>7446095</v>
      </c>
      <c r="I5" s="143">
        <v>7429905</v>
      </c>
      <c r="J5" s="78">
        <v>7440360</v>
      </c>
      <c r="K5" s="5">
        <v>7440382</v>
      </c>
      <c r="L5" s="78">
        <v>7440393</v>
      </c>
      <c r="M5" s="5">
        <v>7440417</v>
      </c>
      <c r="N5" s="5">
        <v>7440439</v>
      </c>
      <c r="O5" s="5">
        <v>18540299</v>
      </c>
      <c r="P5" s="78">
        <v>7440473</v>
      </c>
      <c r="Q5" s="323">
        <v>7440484</v>
      </c>
      <c r="R5" s="5">
        <v>7440508</v>
      </c>
      <c r="S5" s="5">
        <v>7439921</v>
      </c>
      <c r="T5" s="5">
        <v>7439965</v>
      </c>
      <c r="U5" s="5">
        <v>7439976</v>
      </c>
      <c r="V5" s="78">
        <v>7439987</v>
      </c>
      <c r="W5" s="5">
        <v>7440020</v>
      </c>
      <c r="X5" s="78">
        <v>7723140</v>
      </c>
      <c r="Y5" s="5">
        <v>7782492</v>
      </c>
      <c r="Z5" s="5">
        <v>1175</v>
      </c>
      <c r="AA5" s="5">
        <v>9960</v>
      </c>
      <c r="AB5" s="5">
        <v>7440622</v>
      </c>
      <c r="AC5" s="91">
        <v>7440666</v>
      </c>
      <c r="AD5" s="78">
        <v>83329</v>
      </c>
      <c r="AE5" s="78">
        <v>208968</v>
      </c>
      <c r="AF5" s="5">
        <v>75070</v>
      </c>
      <c r="AG5" s="78">
        <v>75058</v>
      </c>
      <c r="AH5" s="5">
        <v>107028</v>
      </c>
      <c r="AI5" s="5">
        <v>107131</v>
      </c>
      <c r="AJ5" s="5">
        <v>7664417</v>
      </c>
      <c r="AK5" s="78">
        <v>120127</v>
      </c>
      <c r="AL5" s="5">
        <v>56553</v>
      </c>
      <c r="AM5" s="5">
        <v>71432</v>
      </c>
      <c r="AN5" s="5">
        <v>50328</v>
      </c>
      <c r="AO5" s="5">
        <v>205992</v>
      </c>
      <c r="AP5" s="78">
        <v>192972</v>
      </c>
      <c r="AQ5" s="78">
        <v>191242</v>
      </c>
      <c r="AR5" s="5">
        <v>207089</v>
      </c>
      <c r="AS5" s="5">
        <v>106990</v>
      </c>
      <c r="AT5" s="5">
        <v>75150</v>
      </c>
      <c r="AU5" s="5">
        <v>56235</v>
      </c>
      <c r="AV5" s="5">
        <v>7782505</v>
      </c>
      <c r="AW5" s="5">
        <v>108907</v>
      </c>
      <c r="AX5" s="5">
        <v>67663</v>
      </c>
      <c r="AY5" s="5">
        <v>218019</v>
      </c>
      <c r="AZ5" s="78">
        <v>98828</v>
      </c>
      <c r="BA5" s="5">
        <v>53703</v>
      </c>
      <c r="BB5" s="5">
        <v>75343</v>
      </c>
      <c r="BC5" s="78">
        <v>78875</v>
      </c>
      <c r="BD5" s="78">
        <v>542756</v>
      </c>
      <c r="BE5" s="5">
        <v>106467</v>
      </c>
      <c r="BF5" s="5">
        <v>123911</v>
      </c>
      <c r="BG5" s="5">
        <v>100414</v>
      </c>
      <c r="BH5" s="5">
        <v>75003</v>
      </c>
      <c r="BI5" s="5">
        <v>106934</v>
      </c>
      <c r="BJ5" s="5">
        <v>107062</v>
      </c>
      <c r="BK5" s="78">
        <v>206440</v>
      </c>
      <c r="BL5" s="78">
        <v>86737</v>
      </c>
      <c r="BM5" s="5">
        <v>50000</v>
      </c>
      <c r="BN5" s="5">
        <v>35822469</v>
      </c>
      <c r="BO5" s="5">
        <v>67562394</v>
      </c>
      <c r="BP5" s="5">
        <v>55673897</v>
      </c>
      <c r="BQ5" s="5">
        <v>39227286</v>
      </c>
      <c r="BR5" s="5">
        <v>57653857</v>
      </c>
      <c r="BS5" s="5">
        <v>19408743</v>
      </c>
      <c r="BT5" s="5">
        <v>70648269</v>
      </c>
      <c r="BU5" s="5">
        <v>57117449</v>
      </c>
      <c r="BV5" s="5">
        <v>72918219</v>
      </c>
      <c r="BW5" s="5">
        <v>60851345</v>
      </c>
      <c r="BX5" s="5">
        <v>110543</v>
      </c>
      <c r="BY5" s="5">
        <v>7647010</v>
      </c>
      <c r="BZ5" s="5">
        <v>7664393</v>
      </c>
      <c r="CA5" s="323">
        <v>7783064</v>
      </c>
      <c r="CB5" s="5">
        <v>193395</v>
      </c>
      <c r="CC5" s="5">
        <v>67561</v>
      </c>
      <c r="CD5" s="5">
        <v>74839</v>
      </c>
      <c r="CE5" s="78">
        <v>74873</v>
      </c>
      <c r="CF5" s="5">
        <v>71556</v>
      </c>
      <c r="CG5" s="5">
        <v>78933</v>
      </c>
      <c r="CH5" s="5">
        <v>1634044</v>
      </c>
      <c r="CI5" s="5">
        <v>75092</v>
      </c>
      <c r="CJ5" s="78">
        <v>91576</v>
      </c>
      <c r="CK5" s="5">
        <v>91203</v>
      </c>
      <c r="CL5" s="5">
        <v>3268879</v>
      </c>
      <c r="CM5" s="5">
        <v>39001020</v>
      </c>
      <c r="CN5" s="5" t="s">
        <v>159</v>
      </c>
      <c r="CO5" s="5">
        <v>40321764</v>
      </c>
      <c r="CP5" s="5">
        <v>57117416</v>
      </c>
      <c r="CQ5" s="5">
        <v>57117314</v>
      </c>
      <c r="CR5" s="5">
        <v>127184</v>
      </c>
      <c r="CS5" s="78">
        <v>198550</v>
      </c>
      <c r="CT5" s="78">
        <v>85018</v>
      </c>
      <c r="CU5" s="323">
        <v>108952</v>
      </c>
      <c r="CV5" s="78">
        <v>123386</v>
      </c>
      <c r="CW5" s="5">
        <v>115071</v>
      </c>
      <c r="CX5" s="5">
        <v>75569</v>
      </c>
      <c r="CY5" s="78">
        <v>129000</v>
      </c>
      <c r="CZ5" s="78">
        <v>106514</v>
      </c>
      <c r="DA5" s="5">
        <v>100425</v>
      </c>
      <c r="DB5" s="5">
        <v>1746016</v>
      </c>
      <c r="DC5" s="5">
        <v>51207319</v>
      </c>
      <c r="DD5" s="5">
        <v>79345</v>
      </c>
      <c r="DE5" s="5">
        <v>108883</v>
      </c>
      <c r="DF5" s="5">
        <v>79016</v>
      </c>
      <c r="DG5" s="5">
        <v>79005</v>
      </c>
      <c r="DH5" s="78">
        <v>95636</v>
      </c>
      <c r="DI5" s="78">
        <v>540841</v>
      </c>
      <c r="DJ5" s="5">
        <v>1085</v>
      </c>
      <c r="DK5" s="5">
        <v>1080</v>
      </c>
      <c r="DL5" s="5">
        <v>75014</v>
      </c>
      <c r="DM5" s="5">
        <v>75354</v>
      </c>
      <c r="DN5" s="5">
        <v>1330207</v>
      </c>
      <c r="DO5" s="5">
        <v>108383</v>
      </c>
      <c r="DP5" s="6">
        <v>95476</v>
      </c>
    </row>
    <row r="6" spans="2:120" ht="15.75" customHeight="1" x14ac:dyDescent="0.35">
      <c r="B6" s="223"/>
      <c r="C6" s="305" t="s">
        <v>349</v>
      </c>
      <c r="D6" s="412"/>
      <c r="E6" s="331"/>
      <c r="F6" s="100"/>
      <c r="G6" s="55"/>
      <c r="H6" s="85"/>
      <c r="I6" s="153"/>
      <c r="J6" s="101"/>
      <c r="K6" s="57"/>
      <c r="L6" s="101"/>
      <c r="M6" s="57"/>
      <c r="N6" s="57"/>
      <c r="O6" s="57"/>
      <c r="P6" s="101"/>
      <c r="Q6" s="168"/>
      <c r="R6" s="57"/>
      <c r="S6" s="57"/>
      <c r="T6" s="57"/>
      <c r="U6" s="57"/>
      <c r="V6" s="101"/>
      <c r="W6" s="57"/>
      <c r="X6" s="101"/>
      <c r="Y6" s="57"/>
      <c r="Z6" s="57"/>
      <c r="AA6" s="57"/>
      <c r="AB6" s="57"/>
      <c r="AC6" s="413"/>
      <c r="AD6" s="153"/>
      <c r="AE6" s="101"/>
      <c r="AF6" s="57"/>
      <c r="AG6" s="101"/>
      <c r="AH6" s="57"/>
      <c r="AI6" s="57"/>
      <c r="AJ6" s="57"/>
      <c r="AK6" s="101"/>
      <c r="AL6" s="57"/>
      <c r="AM6" s="57"/>
      <c r="AN6" s="57"/>
      <c r="AO6" s="57"/>
      <c r="AP6" s="101"/>
      <c r="AQ6" s="101"/>
      <c r="AR6" s="57"/>
      <c r="AS6" s="57"/>
      <c r="AT6" s="57"/>
      <c r="AU6" s="57"/>
      <c r="AV6" s="57"/>
      <c r="AW6" s="57"/>
      <c r="AX6" s="57"/>
      <c r="AY6" s="57"/>
      <c r="AZ6" s="101"/>
      <c r="BA6" s="57"/>
      <c r="BB6" s="57"/>
      <c r="BC6" s="101"/>
      <c r="BD6" s="101"/>
      <c r="BE6" s="57"/>
      <c r="BF6" s="57"/>
      <c r="BG6" s="57"/>
      <c r="BH6" s="57"/>
      <c r="BI6" s="57"/>
      <c r="BJ6" s="57"/>
      <c r="BK6" s="101"/>
      <c r="BL6" s="101"/>
      <c r="BM6" s="57"/>
      <c r="BN6" s="57"/>
      <c r="BO6" s="57"/>
      <c r="BP6" s="57"/>
      <c r="BQ6" s="57"/>
      <c r="BR6" s="57"/>
      <c r="BS6" s="57"/>
      <c r="BT6" s="57"/>
      <c r="BU6" s="57"/>
      <c r="BV6" s="57"/>
      <c r="BW6" s="57"/>
      <c r="BX6" s="57"/>
      <c r="BY6" s="57"/>
      <c r="BZ6" s="57"/>
      <c r="CA6" s="57"/>
      <c r="CB6" s="57"/>
      <c r="CC6" s="57"/>
      <c r="CD6" s="57"/>
      <c r="CE6" s="101"/>
      <c r="CF6" s="57"/>
      <c r="CG6" s="57"/>
      <c r="CH6" s="57"/>
      <c r="CI6" s="57"/>
      <c r="CJ6" s="101"/>
      <c r="CK6" s="57"/>
      <c r="CL6" s="57"/>
      <c r="CM6" s="57"/>
      <c r="CN6" s="57"/>
      <c r="CO6" s="57"/>
      <c r="CP6" s="57"/>
      <c r="CQ6" s="57"/>
      <c r="CR6" s="57"/>
      <c r="CS6" s="101"/>
      <c r="CT6" s="101"/>
      <c r="CU6" s="168"/>
      <c r="CV6" s="101"/>
      <c r="CW6" s="57"/>
      <c r="CX6" s="57"/>
      <c r="CY6" s="101"/>
      <c r="CZ6" s="101"/>
      <c r="DA6" s="57"/>
      <c r="DB6" s="57"/>
      <c r="DC6" s="57"/>
      <c r="DD6" s="57"/>
      <c r="DE6" s="57"/>
      <c r="DF6" s="57"/>
      <c r="DG6" s="57"/>
      <c r="DH6" s="101"/>
      <c r="DI6" s="101"/>
      <c r="DJ6" s="57"/>
      <c r="DK6" s="57"/>
      <c r="DL6" s="57"/>
      <c r="DM6" s="57"/>
      <c r="DN6" s="57"/>
      <c r="DO6" s="57"/>
      <c r="DP6" s="320"/>
    </row>
    <row r="7" spans="2:120" ht="16.5" x14ac:dyDescent="0.35">
      <c r="B7" s="414"/>
      <c r="C7" s="415"/>
      <c r="D7" s="311"/>
      <c r="E7" s="186" t="s">
        <v>350</v>
      </c>
      <c r="F7" s="189" t="s">
        <v>196</v>
      </c>
      <c r="G7" s="314" t="s">
        <v>194</v>
      </c>
      <c r="H7" s="17" t="s">
        <v>78</v>
      </c>
      <c r="I7" s="327">
        <v>9.9407999999999996E-2</v>
      </c>
      <c r="J7" s="135">
        <v>8.1000000000000004E-5</v>
      </c>
      <c r="K7" s="95">
        <v>1.5E-5</v>
      </c>
      <c r="L7" s="135">
        <v>6.9700000000000003E-4</v>
      </c>
      <c r="M7" s="238" t="s">
        <v>78</v>
      </c>
      <c r="N7" s="95">
        <v>1.2999999999999999E-5</v>
      </c>
      <c r="O7" s="238" t="s">
        <v>78</v>
      </c>
      <c r="P7" s="135">
        <v>1.7E-5</v>
      </c>
      <c r="Q7" s="380">
        <v>5.0000000000000004E-6</v>
      </c>
      <c r="R7" s="95">
        <v>1.5799999999999999E-4</v>
      </c>
      <c r="S7" s="95">
        <v>1.2999999999999999E-4</v>
      </c>
      <c r="T7" s="95">
        <v>9.1500000000000001E-4</v>
      </c>
      <c r="U7" s="95">
        <v>1.4E-5</v>
      </c>
      <c r="V7" s="416" t="s">
        <v>78</v>
      </c>
      <c r="W7" s="95">
        <v>3.6999999999999998E-5</v>
      </c>
      <c r="X7" s="115">
        <v>1.096E-3</v>
      </c>
      <c r="Y7" s="95">
        <v>3.0000000000000001E-6</v>
      </c>
      <c r="Z7" s="408">
        <f t="shared" ref="Z7:Z12" si="0">7950/10^6</f>
        <v>7.9500000000000005E-3</v>
      </c>
      <c r="AA7" s="183">
        <v>5.6849999999999999E-3</v>
      </c>
      <c r="AB7" s="95">
        <v>7.7000000000000001E-5</v>
      </c>
      <c r="AC7" s="417">
        <v>3.7399999999999998E-4</v>
      </c>
      <c r="AD7" s="418" t="s">
        <v>78</v>
      </c>
      <c r="AE7" s="419" t="s">
        <v>78</v>
      </c>
      <c r="AF7" s="420" t="s">
        <v>78</v>
      </c>
      <c r="AG7" s="419" t="s">
        <v>78</v>
      </c>
      <c r="AH7" s="420" t="s">
        <v>78</v>
      </c>
      <c r="AI7" s="420" t="s">
        <v>78</v>
      </c>
      <c r="AJ7" s="420" t="s">
        <v>78</v>
      </c>
      <c r="AK7" s="419" t="s">
        <v>78</v>
      </c>
      <c r="AL7" s="420" t="s">
        <v>78</v>
      </c>
      <c r="AM7" s="420" t="s">
        <v>78</v>
      </c>
      <c r="AN7" s="420" t="s">
        <v>78</v>
      </c>
      <c r="AO7" s="420" t="s">
        <v>78</v>
      </c>
      <c r="AP7" s="419" t="s">
        <v>78</v>
      </c>
      <c r="AQ7" s="419" t="s">
        <v>78</v>
      </c>
      <c r="AR7" s="420" t="s">
        <v>78</v>
      </c>
      <c r="AS7" s="420" t="s">
        <v>78</v>
      </c>
      <c r="AT7" s="420" t="s">
        <v>78</v>
      </c>
      <c r="AU7" s="420" t="s">
        <v>78</v>
      </c>
      <c r="AV7" s="340" t="s">
        <v>78</v>
      </c>
      <c r="AW7" s="338" t="s">
        <v>78</v>
      </c>
      <c r="AX7" s="338" t="s">
        <v>78</v>
      </c>
      <c r="AY7" s="338" t="s">
        <v>78</v>
      </c>
      <c r="AZ7" s="339" t="s">
        <v>78</v>
      </c>
      <c r="BA7" s="338" t="s">
        <v>78</v>
      </c>
      <c r="BB7" s="338" t="s">
        <v>78</v>
      </c>
      <c r="BC7" s="339" t="s">
        <v>78</v>
      </c>
      <c r="BD7" s="339" t="s">
        <v>78</v>
      </c>
      <c r="BE7" s="338" t="s">
        <v>78</v>
      </c>
      <c r="BF7" s="338" t="s">
        <v>78</v>
      </c>
      <c r="BG7" s="338" t="s">
        <v>78</v>
      </c>
      <c r="BH7" s="338" t="s">
        <v>78</v>
      </c>
      <c r="BI7" s="338" t="s">
        <v>78</v>
      </c>
      <c r="BJ7" s="338" t="s">
        <v>78</v>
      </c>
      <c r="BK7" s="339" t="s">
        <v>78</v>
      </c>
      <c r="BL7" s="339" t="s">
        <v>78</v>
      </c>
      <c r="BM7" s="338" t="s">
        <v>78</v>
      </c>
      <c r="BN7" s="338" t="s">
        <v>78</v>
      </c>
      <c r="BO7" s="338" t="s">
        <v>78</v>
      </c>
      <c r="BP7" s="338" t="s">
        <v>78</v>
      </c>
      <c r="BQ7" s="338" t="s">
        <v>78</v>
      </c>
      <c r="BR7" s="338" t="s">
        <v>78</v>
      </c>
      <c r="BS7" s="338" t="s">
        <v>78</v>
      </c>
      <c r="BT7" s="338" t="s">
        <v>78</v>
      </c>
      <c r="BU7" s="338" t="s">
        <v>78</v>
      </c>
      <c r="BV7" s="338" t="s">
        <v>78</v>
      </c>
      <c r="BW7" s="338" t="s">
        <v>78</v>
      </c>
      <c r="BX7" s="338" t="s">
        <v>78</v>
      </c>
      <c r="BY7" s="338" t="s">
        <v>78</v>
      </c>
      <c r="BZ7" s="338" t="s">
        <v>78</v>
      </c>
      <c r="CA7" s="338" t="s">
        <v>78</v>
      </c>
      <c r="CB7" s="338" t="s">
        <v>78</v>
      </c>
      <c r="CC7" s="17" t="s">
        <v>78</v>
      </c>
      <c r="CD7" s="338" t="s">
        <v>78</v>
      </c>
      <c r="CE7" s="339" t="s">
        <v>78</v>
      </c>
      <c r="CF7" s="338" t="s">
        <v>78</v>
      </c>
      <c r="CG7" s="338" t="s">
        <v>78</v>
      </c>
      <c r="CH7" s="338" t="s">
        <v>78</v>
      </c>
      <c r="CI7" s="338" t="s">
        <v>78</v>
      </c>
      <c r="CJ7" s="339" t="s">
        <v>78</v>
      </c>
      <c r="CK7" s="338" t="s">
        <v>78</v>
      </c>
      <c r="CL7" s="338" t="s">
        <v>78</v>
      </c>
      <c r="CM7" s="338" t="s">
        <v>78</v>
      </c>
      <c r="CN7" s="17" t="s">
        <v>78</v>
      </c>
      <c r="CO7" s="338" t="s">
        <v>78</v>
      </c>
      <c r="CP7" s="338" t="s">
        <v>78</v>
      </c>
      <c r="CQ7" s="338" t="s">
        <v>78</v>
      </c>
      <c r="CR7" s="338" t="s">
        <v>78</v>
      </c>
      <c r="CS7" s="339" t="s">
        <v>78</v>
      </c>
      <c r="CT7" s="339" t="s">
        <v>78</v>
      </c>
      <c r="CU7" s="338" t="s">
        <v>78</v>
      </c>
      <c r="CV7" s="419" t="s">
        <v>78</v>
      </c>
      <c r="CW7" s="338" t="s">
        <v>78</v>
      </c>
      <c r="CX7" s="338" t="s">
        <v>78</v>
      </c>
      <c r="CY7" s="339" t="s">
        <v>78</v>
      </c>
      <c r="CZ7" s="419" t="s">
        <v>78</v>
      </c>
      <c r="DA7" s="338" t="s">
        <v>78</v>
      </c>
      <c r="DB7" s="338" t="s">
        <v>78</v>
      </c>
      <c r="DC7" s="338" t="s">
        <v>78</v>
      </c>
      <c r="DD7" s="17" t="s">
        <v>78</v>
      </c>
      <c r="DE7" s="338" t="s">
        <v>78</v>
      </c>
      <c r="DF7" s="17" t="s">
        <v>78</v>
      </c>
      <c r="DG7" s="17" t="s">
        <v>78</v>
      </c>
      <c r="DH7" s="69" t="s">
        <v>78</v>
      </c>
      <c r="DI7" s="339" t="s">
        <v>78</v>
      </c>
      <c r="DJ7" s="338" t="s">
        <v>78</v>
      </c>
      <c r="DK7" s="338" t="s">
        <v>78</v>
      </c>
      <c r="DL7" s="338" t="s">
        <v>78</v>
      </c>
      <c r="DM7" s="338" t="s">
        <v>78</v>
      </c>
      <c r="DN7" s="338" t="s">
        <v>78</v>
      </c>
      <c r="DO7" s="338" t="s">
        <v>78</v>
      </c>
      <c r="DP7" s="486" t="s">
        <v>78</v>
      </c>
    </row>
    <row r="8" spans="2:120" ht="16.5" x14ac:dyDescent="0.35">
      <c r="B8" s="414"/>
      <c r="C8" s="415"/>
      <c r="D8" s="311"/>
      <c r="E8" s="186" t="s">
        <v>351</v>
      </c>
      <c r="F8" s="189" t="s">
        <v>425</v>
      </c>
      <c r="G8" s="314" t="s">
        <v>194</v>
      </c>
      <c r="H8" s="17" t="s">
        <v>78</v>
      </c>
      <c r="I8" s="327">
        <v>0.106709</v>
      </c>
      <c r="J8" s="135">
        <v>6.7999999999999999E-5</v>
      </c>
      <c r="K8" s="95">
        <v>1.2999999999999999E-5</v>
      </c>
      <c r="L8" s="135">
        <v>1.0399999999999999E-3</v>
      </c>
      <c r="M8" s="238" t="s">
        <v>78</v>
      </c>
      <c r="N8" s="95">
        <v>3.0000000000000001E-6</v>
      </c>
      <c r="O8" s="238" t="s">
        <v>78</v>
      </c>
      <c r="P8" s="135">
        <v>1.7E-5</v>
      </c>
      <c r="Q8" s="380">
        <v>2.3E-5</v>
      </c>
      <c r="R8" s="95">
        <v>1.4799999999999999E-4</v>
      </c>
      <c r="S8" s="95">
        <v>1.2400000000000001E-4</v>
      </c>
      <c r="T8" s="95">
        <v>8.0000000000000004E-4</v>
      </c>
      <c r="U8" s="95">
        <v>9.0000000000000002E-6</v>
      </c>
      <c r="V8" s="416" t="s">
        <v>78</v>
      </c>
      <c r="W8" s="95">
        <v>1.2E-5</v>
      </c>
      <c r="X8" s="115">
        <v>2.7230000000000002E-3</v>
      </c>
      <c r="Y8" s="95">
        <v>1.9999999999999999E-6</v>
      </c>
      <c r="Z8" s="408">
        <f t="shared" si="0"/>
        <v>7.9500000000000005E-3</v>
      </c>
      <c r="AA8" s="183">
        <v>2.6919999999999999E-3</v>
      </c>
      <c r="AB8" s="95">
        <v>7.1000000000000005E-5</v>
      </c>
      <c r="AC8" s="417">
        <v>9.9099999999999991E-4</v>
      </c>
      <c r="AD8" s="418" t="s">
        <v>78</v>
      </c>
      <c r="AE8" s="419" t="s">
        <v>78</v>
      </c>
      <c r="AF8" s="420" t="s">
        <v>78</v>
      </c>
      <c r="AG8" s="419" t="s">
        <v>78</v>
      </c>
      <c r="AH8" s="420" t="s">
        <v>78</v>
      </c>
      <c r="AI8" s="420" t="s">
        <v>78</v>
      </c>
      <c r="AJ8" s="420" t="s">
        <v>78</v>
      </c>
      <c r="AK8" s="419" t="s">
        <v>78</v>
      </c>
      <c r="AL8" s="420" t="s">
        <v>78</v>
      </c>
      <c r="AM8" s="420" t="s">
        <v>78</v>
      </c>
      <c r="AN8" s="420" t="s">
        <v>78</v>
      </c>
      <c r="AO8" s="420" t="s">
        <v>78</v>
      </c>
      <c r="AP8" s="419" t="s">
        <v>78</v>
      </c>
      <c r="AQ8" s="419" t="s">
        <v>78</v>
      </c>
      <c r="AR8" s="420" t="s">
        <v>78</v>
      </c>
      <c r="AS8" s="420" t="s">
        <v>78</v>
      </c>
      <c r="AT8" s="420" t="s">
        <v>78</v>
      </c>
      <c r="AU8" s="420" t="s">
        <v>78</v>
      </c>
      <c r="AV8" s="340" t="s">
        <v>78</v>
      </c>
      <c r="AW8" s="338" t="s">
        <v>78</v>
      </c>
      <c r="AX8" s="338" t="s">
        <v>78</v>
      </c>
      <c r="AY8" s="338" t="s">
        <v>78</v>
      </c>
      <c r="AZ8" s="339" t="s">
        <v>78</v>
      </c>
      <c r="BA8" s="338" t="s">
        <v>78</v>
      </c>
      <c r="BB8" s="338" t="s">
        <v>78</v>
      </c>
      <c r="BC8" s="339" t="s">
        <v>78</v>
      </c>
      <c r="BD8" s="339" t="s">
        <v>78</v>
      </c>
      <c r="BE8" s="338" t="s">
        <v>78</v>
      </c>
      <c r="BF8" s="338" t="s">
        <v>78</v>
      </c>
      <c r="BG8" s="338" t="s">
        <v>78</v>
      </c>
      <c r="BH8" s="338" t="s">
        <v>78</v>
      </c>
      <c r="BI8" s="338" t="s">
        <v>78</v>
      </c>
      <c r="BJ8" s="338" t="s">
        <v>78</v>
      </c>
      <c r="BK8" s="339" t="s">
        <v>78</v>
      </c>
      <c r="BL8" s="339" t="s">
        <v>78</v>
      </c>
      <c r="BM8" s="338" t="s">
        <v>78</v>
      </c>
      <c r="BN8" s="338" t="s">
        <v>78</v>
      </c>
      <c r="BO8" s="338" t="s">
        <v>78</v>
      </c>
      <c r="BP8" s="338" t="s">
        <v>78</v>
      </c>
      <c r="BQ8" s="338" t="s">
        <v>78</v>
      </c>
      <c r="BR8" s="338" t="s">
        <v>78</v>
      </c>
      <c r="BS8" s="338" t="s">
        <v>78</v>
      </c>
      <c r="BT8" s="338" t="s">
        <v>78</v>
      </c>
      <c r="BU8" s="338" t="s">
        <v>78</v>
      </c>
      <c r="BV8" s="338" t="s">
        <v>78</v>
      </c>
      <c r="BW8" s="338" t="s">
        <v>78</v>
      </c>
      <c r="BX8" s="338" t="s">
        <v>78</v>
      </c>
      <c r="BY8" s="338" t="s">
        <v>78</v>
      </c>
      <c r="BZ8" s="338" t="s">
        <v>78</v>
      </c>
      <c r="CA8" s="338" t="s">
        <v>78</v>
      </c>
      <c r="CB8" s="338" t="s">
        <v>78</v>
      </c>
      <c r="CC8" s="17" t="s">
        <v>78</v>
      </c>
      <c r="CD8" s="338" t="s">
        <v>78</v>
      </c>
      <c r="CE8" s="339" t="s">
        <v>78</v>
      </c>
      <c r="CF8" s="338" t="s">
        <v>78</v>
      </c>
      <c r="CG8" s="338" t="s">
        <v>78</v>
      </c>
      <c r="CH8" s="338" t="s">
        <v>78</v>
      </c>
      <c r="CI8" s="338" t="s">
        <v>78</v>
      </c>
      <c r="CJ8" s="339" t="s">
        <v>78</v>
      </c>
      <c r="CK8" s="338" t="s">
        <v>78</v>
      </c>
      <c r="CL8" s="338" t="s">
        <v>78</v>
      </c>
      <c r="CM8" s="338" t="s">
        <v>78</v>
      </c>
      <c r="CN8" s="17" t="s">
        <v>78</v>
      </c>
      <c r="CO8" s="338" t="s">
        <v>78</v>
      </c>
      <c r="CP8" s="338" t="s">
        <v>78</v>
      </c>
      <c r="CQ8" s="338" t="s">
        <v>78</v>
      </c>
      <c r="CR8" s="338" t="s">
        <v>78</v>
      </c>
      <c r="CS8" s="339" t="s">
        <v>78</v>
      </c>
      <c r="CT8" s="339" t="s">
        <v>78</v>
      </c>
      <c r="CU8" s="338" t="s">
        <v>78</v>
      </c>
      <c r="CV8" s="419" t="s">
        <v>78</v>
      </c>
      <c r="CW8" s="338" t="s">
        <v>78</v>
      </c>
      <c r="CX8" s="338" t="s">
        <v>78</v>
      </c>
      <c r="CY8" s="339" t="s">
        <v>78</v>
      </c>
      <c r="CZ8" s="419" t="s">
        <v>78</v>
      </c>
      <c r="DA8" s="338" t="s">
        <v>78</v>
      </c>
      <c r="DB8" s="338" t="s">
        <v>78</v>
      </c>
      <c r="DC8" s="338" t="s">
        <v>78</v>
      </c>
      <c r="DD8" s="17" t="s">
        <v>78</v>
      </c>
      <c r="DE8" s="338" t="s">
        <v>78</v>
      </c>
      <c r="DF8" s="17" t="s">
        <v>78</v>
      </c>
      <c r="DG8" s="17" t="s">
        <v>78</v>
      </c>
      <c r="DH8" s="69" t="s">
        <v>78</v>
      </c>
      <c r="DI8" s="339" t="s">
        <v>78</v>
      </c>
      <c r="DJ8" s="338" t="s">
        <v>78</v>
      </c>
      <c r="DK8" s="338" t="s">
        <v>78</v>
      </c>
      <c r="DL8" s="338" t="s">
        <v>78</v>
      </c>
      <c r="DM8" s="338" t="s">
        <v>78</v>
      </c>
      <c r="DN8" s="338" t="s">
        <v>78</v>
      </c>
      <c r="DO8" s="338" t="s">
        <v>78</v>
      </c>
      <c r="DP8" s="486" t="s">
        <v>78</v>
      </c>
    </row>
    <row r="9" spans="2:120" ht="16.5" x14ac:dyDescent="0.35">
      <c r="B9" s="414"/>
      <c r="C9" s="415"/>
      <c r="D9" s="311"/>
      <c r="E9" s="186" t="s">
        <v>352</v>
      </c>
      <c r="F9" s="189" t="s">
        <v>426</v>
      </c>
      <c r="G9" s="314" t="s">
        <v>194</v>
      </c>
      <c r="H9" s="17" t="s">
        <v>78</v>
      </c>
      <c r="I9" s="327">
        <v>7.2396000000000002E-2</v>
      </c>
      <c r="J9" s="135">
        <v>1.0000000000000001E-5</v>
      </c>
      <c r="K9" s="95">
        <v>1.7E-5</v>
      </c>
      <c r="L9" s="135">
        <v>8.6200000000000003E-4</v>
      </c>
      <c r="M9" s="238" t="s">
        <v>78</v>
      </c>
      <c r="N9" s="95">
        <v>2.0999999999999999E-5</v>
      </c>
      <c r="O9" s="238" t="s">
        <v>78</v>
      </c>
      <c r="P9" s="135">
        <v>2.24E-4</v>
      </c>
      <c r="Q9" s="380">
        <v>1.15E-4</v>
      </c>
      <c r="R9" s="95">
        <v>1.02E-4</v>
      </c>
      <c r="S9" s="95">
        <v>5.5699999999999999E-4</v>
      </c>
      <c r="T9" s="95">
        <v>9.4499999999999998E-4</v>
      </c>
      <c r="U9" s="95">
        <v>1.5E-5</v>
      </c>
      <c r="V9" s="416" t="s">
        <v>78</v>
      </c>
      <c r="W9" s="95">
        <v>5.8999999999999998E-5</v>
      </c>
      <c r="X9" s="115">
        <v>1.4989999999999999E-3</v>
      </c>
      <c r="Y9" s="95">
        <v>1.9999999999999999E-6</v>
      </c>
      <c r="Z9" s="408">
        <f t="shared" si="0"/>
        <v>7.9500000000000005E-3</v>
      </c>
      <c r="AA9" s="183">
        <v>4.2940000000000001E-3</v>
      </c>
      <c r="AB9" s="95">
        <v>2.7599999999999999E-4</v>
      </c>
      <c r="AC9" s="417">
        <v>5.1800000000000001E-4</v>
      </c>
      <c r="AD9" s="418" t="s">
        <v>78</v>
      </c>
      <c r="AE9" s="419" t="s">
        <v>78</v>
      </c>
      <c r="AF9" s="420" t="s">
        <v>78</v>
      </c>
      <c r="AG9" s="419" t="s">
        <v>78</v>
      </c>
      <c r="AH9" s="420" t="s">
        <v>78</v>
      </c>
      <c r="AI9" s="420" t="s">
        <v>78</v>
      </c>
      <c r="AJ9" s="420" t="s">
        <v>78</v>
      </c>
      <c r="AK9" s="419" t="s">
        <v>78</v>
      </c>
      <c r="AL9" s="420" t="s">
        <v>78</v>
      </c>
      <c r="AM9" s="420" t="s">
        <v>78</v>
      </c>
      <c r="AN9" s="420" t="s">
        <v>78</v>
      </c>
      <c r="AO9" s="420" t="s">
        <v>78</v>
      </c>
      <c r="AP9" s="419" t="s">
        <v>78</v>
      </c>
      <c r="AQ9" s="419" t="s">
        <v>78</v>
      </c>
      <c r="AR9" s="420" t="s">
        <v>78</v>
      </c>
      <c r="AS9" s="420" t="s">
        <v>78</v>
      </c>
      <c r="AT9" s="420" t="s">
        <v>78</v>
      </c>
      <c r="AU9" s="420" t="s">
        <v>78</v>
      </c>
      <c r="AV9" s="340" t="s">
        <v>78</v>
      </c>
      <c r="AW9" s="338" t="s">
        <v>78</v>
      </c>
      <c r="AX9" s="338" t="s">
        <v>78</v>
      </c>
      <c r="AY9" s="338" t="s">
        <v>78</v>
      </c>
      <c r="AZ9" s="339" t="s">
        <v>78</v>
      </c>
      <c r="BA9" s="338" t="s">
        <v>78</v>
      </c>
      <c r="BB9" s="338" t="s">
        <v>78</v>
      </c>
      <c r="BC9" s="339" t="s">
        <v>78</v>
      </c>
      <c r="BD9" s="339" t="s">
        <v>78</v>
      </c>
      <c r="BE9" s="338" t="s">
        <v>78</v>
      </c>
      <c r="BF9" s="338" t="s">
        <v>78</v>
      </c>
      <c r="BG9" s="338" t="s">
        <v>78</v>
      </c>
      <c r="BH9" s="338" t="s">
        <v>78</v>
      </c>
      <c r="BI9" s="338" t="s">
        <v>78</v>
      </c>
      <c r="BJ9" s="338" t="s">
        <v>78</v>
      </c>
      <c r="BK9" s="339" t="s">
        <v>78</v>
      </c>
      <c r="BL9" s="339" t="s">
        <v>78</v>
      </c>
      <c r="BM9" s="338" t="s">
        <v>78</v>
      </c>
      <c r="BN9" s="338" t="s">
        <v>78</v>
      </c>
      <c r="BO9" s="338" t="s">
        <v>78</v>
      </c>
      <c r="BP9" s="338" t="s">
        <v>78</v>
      </c>
      <c r="BQ9" s="338" t="s">
        <v>78</v>
      </c>
      <c r="BR9" s="338" t="s">
        <v>78</v>
      </c>
      <c r="BS9" s="338" t="s">
        <v>78</v>
      </c>
      <c r="BT9" s="338" t="s">
        <v>78</v>
      </c>
      <c r="BU9" s="338" t="s">
        <v>78</v>
      </c>
      <c r="BV9" s="338" t="s">
        <v>78</v>
      </c>
      <c r="BW9" s="338" t="s">
        <v>78</v>
      </c>
      <c r="BX9" s="338" t="s">
        <v>78</v>
      </c>
      <c r="BY9" s="338" t="s">
        <v>78</v>
      </c>
      <c r="BZ9" s="338" t="s">
        <v>78</v>
      </c>
      <c r="CA9" s="338" t="s">
        <v>78</v>
      </c>
      <c r="CB9" s="338" t="s">
        <v>78</v>
      </c>
      <c r="CC9" s="17" t="s">
        <v>78</v>
      </c>
      <c r="CD9" s="338" t="s">
        <v>78</v>
      </c>
      <c r="CE9" s="339" t="s">
        <v>78</v>
      </c>
      <c r="CF9" s="338" t="s">
        <v>78</v>
      </c>
      <c r="CG9" s="338" t="s">
        <v>78</v>
      </c>
      <c r="CH9" s="338" t="s">
        <v>78</v>
      </c>
      <c r="CI9" s="338" t="s">
        <v>78</v>
      </c>
      <c r="CJ9" s="339" t="s">
        <v>78</v>
      </c>
      <c r="CK9" s="338" t="s">
        <v>78</v>
      </c>
      <c r="CL9" s="338" t="s">
        <v>78</v>
      </c>
      <c r="CM9" s="338" t="s">
        <v>78</v>
      </c>
      <c r="CN9" s="17" t="s">
        <v>78</v>
      </c>
      <c r="CO9" s="338" t="s">
        <v>78</v>
      </c>
      <c r="CP9" s="338" t="s">
        <v>78</v>
      </c>
      <c r="CQ9" s="338" t="s">
        <v>78</v>
      </c>
      <c r="CR9" s="338" t="s">
        <v>78</v>
      </c>
      <c r="CS9" s="339" t="s">
        <v>78</v>
      </c>
      <c r="CT9" s="339" t="s">
        <v>78</v>
      </c>
      <c r="CU9" s="338" t="s">
        <v>78</v>
      </c>
      <c r="CV9" s="419" t="s">
        <v>78</v>
      </c>
      <c r="CW9" s="338" t="s">
        <v>78</v>
      </c>
      <c r="CX9" s="338" t="s">
        <v>78</v>
      </c>
      <c r="CY9" s="339" t="s">
        <v>78</v>
      </c>
      <c r="CZ9" s="419" t="s">
        <v>78</v>
      </c>
      <c r="DA9" s="338" t="s">
        <v>78</v>
      </c>
      <c r="DB9" s="338" t="s">
        <v>78</v>
      </c>
      <c r="DC9" s="338" t="s">
        <v>78</v>
      </c>
      <c r="DD9" s="17" t="s">
        <v>78</v>
      </c>
      <c r="DE9" s="338" t="s">
        <v>78</v>
      </c>
      <c r="DF9" s="17" t="s">
        <v>78</v>
      </c>
      <c r="DG9" s="17" t="s">
        <v>78</v>
      </c>
      <c r="DH9" s="69" t="s">
        <v>78</v>
      </c>
      <c r="DI9" s="339" t="s">
        <v>78</v>
      </c>
      <c r="DJ9" s="338" t="s">
        <v>78</v>
      </c>
      <c r="DK9" s="338" t="s">
        <v>78</v>
      </c>
      <c r="DL9" s="338" t="s">
        <v>78</v>
      </c>
      <c r="DM9" s="338" t="s">
        <v>78</v>
      </c>
      <c r="DN9" s="338" t="s">
        <v>78</v>
      </c>
      <c r="DO9" s="338" t="s">
        <v>78</v>
      </c>
      <c r="DP9" s="486" t="s">
        <v>78</v>
      </c>
    </row>
    <row r="10" spans="2:120" s="428" customFormat="1" ht="16.5" x14ac:dyDescent="0.35">
      <c r="B10" s="414"/>
      <c r="C10" s="415"/>
      <c r="D10" s="311"/>
      <c r="E10" s="186" t="s">
        <v>355</v>
      </c>
      <c r="F10" s="189" t="s">
        <v>427</v>
      </c>
      <c r="G10" s="421" t="s">
        <v>194</v>
      </c>
      <c r="H10" s="17" t="s">
        <v>78</v>
      </c>
      <c r="I10" s="422">
        <f>15000/10^6</f>
        <v>1.4999999999999999E-2</v>
      </c>
      <c r="J10" s="423" t="s">
        <v>78</v>
      </c>
      <c r="K10" s="420">
        <f>21/10^6</f>
        <v>2.0999999999999999E-5</v>
      </c>
      <c r="L10" s="135">
        <f>145/10^6</f>
        <v>1.45E-4</v>
      </c>
      <c r="M10" s="420">
        <f t="shared" ref="M10:N12" si="1">1/10^6</f>
        <v>9.9999999999999995E-7</v>
      </c>
      <c r="N10" s="420">
        <f t="shared" si="1"/>
        <v>9.9999999999999995E-7</v>
      </c>
      <c r="O10" s="424">
        <f>0.5%*P10</f>
        <v>1.2500000000000002E-7</v>
      </c>
      <c r="P10" s="419">
        <f>25/10^6</f>
        <v>2.5000000000000001E-5</v>
      </c>
      <c r="Q10" s="448" t="s">
        <v>78</v>
      </c>
      <c r="R10" s="420">
        <f>40/10^6</f>
        <v>4.0000000000000003E-5</v>
      </c>
      <c r="S10" s="420">
        <f>30/10^6</f>
        <v>3.0000000000000001E-5</v>
      </c>
      <c r="T10" s="95">
        <f>490/10^6</f>
        <v>4.8999999999999998E-4</v>
      </c>
      <c r="U10" s="425" t="s">
        <v>78</v>
      </c>
      <c r="V10" s="416" t="s">
        <v>78</v>
      </c>
      <c r="W10" s="420">
        <f>19/10^6</f>
        <v>1.9000000000000001E-5</v>
      </c>
      <c r="X10" s="423" t="s">
        <v>78</v>
      </c>
      <c r="Y10" s="420">
        <f>1/10^6</f>
        <v>9.9999999999999995E-7</v>
      </c>
      <c r="Z10" s="408">
        <f t="shared" si="0"/>
        <v>7.9500000000000005E-3</v>
      </c>
      <c r="AA10" s="550" t="s">
        <v>78</v>
      </c>
      <c r="AB10" s="425" t="s">
        <v>78</v>
      </c>
      <c r="AC10" s="427">
        <f>112/10^6</f>
        <v>1.12E-4</v>
      </c>
      <c r="AD10" s="418" t="s">
        <v>78</v>
      </c>
      <c r="AE10" s="419" t="s">
        <v>78</v>
      </c>
      <c r="AF10" s="420" t="s">
        <v>78</v>
      </c>
      <c r="AG10" s="419" t="s">
        <v>78</v>
      </c>
      <c r="AH10" s="420" t="s">
        <v>78</v>
      </c>
      <c r="AI10" s="420" t="s">
        <v>78</v>
      </c>
      <c r="AJ10" s="420" t="s">
        <v>78</v>
      </c>
      <c r="AK10" s="419" t="s">
        <v>78</v>
      </c>
      <c r="AL10" s="420" t="s">
        <v>78</v>
      </c>
      <c r="AM10" s="420" t="s">
        <v>78</v>
      </c>
      <c r="AN10" s="420" t="s">
        <v>78</v>
      </c>
      <c r="AO10" s="420" t="s">
        <v>78</v>
      </c>
      <c r="AP10" s="419" t="s">
        <v>78</v>
      </c>
      <c r="AQ10" s="419" t="s">
        <v>78</v>
      </c>
      <c r="AR10" s="420" t="s">
        <v>78</v>
      </c>
      <c r="AS10" s="420" t="s">
        <v>78</v>
      </c>
      <c r="AT10" s="420" t="s">
        <v>78</v>
      </c>
      <c r="AU10" s="420" t="s">
        <v>78</v>
      </c>
      <c r="AV10" s="340" t="s">
        <v>78</v>
      </c>
      <c r="AW10" s="338" t="s">
        <v>78</v>
      </c>
      <c r="AX10" s="338" t="s">
        <v>78</v>
      </c>
      <c r="AY10" s="338" t="s">
        <v>78</v>
      </c>
      <c r="AZ10" s="339" t="s">
        <v>78</v>
      </c>
      <c r="BA10" s="338" t="s">
        <v>78</v>
      </c>
      <c r="BB10" s="338" t="s">
        <v>78</v>
      </c>
      <c r="BC10" s="339" t="s">
        <v>78</v>
      </c>
      <c r="BD10" s="339" t="s">
        <v>78</v>
      </c>
      <c r="BE10" s="338" t="s">
        <v>78</v>
      </c>
      <c r="BF10" s="338" t="s">
        <v>78</v>
      </c>
      <c r="BG10" s="338" t="s">
        <v>78</v>
      </c>
      <c r="BH10" s="338" t="s">
        <v>78</v>
      </c>
      <c r="BI10" s="338" t="s">
        <v>78</v>
      </c>
      <c r="BJ10" s="338" t="s">
        <v>78</v>
      </c>
      <c r="BK10" s="339" t="s">
        <v>78</v>
      </c>
      <c r="BL10" s="339" t="s">
        <v>78</v>
      </c>
      <c r="BM10" s="338" t="s">
        <v>78</v>
      </c>
      <c r="BN10" s="338" t="s">
        <v>78</v>
      </c>
      <c r="BO10" s="338" t="s">
        <v>78</v>
      </c>
      <c r="BP10" s="338" t="s">
        <v>78</v>
      </c>
      <c r="BQ10" s="338" t="s">
        <v>78</v>
      </c>
      <c r="BR10" s="338" t="s">
        <v>78</v>
      </c>
      <c r="BS10" s="338" t="s">
        <v>78</v>
      </c>
      <c r="BT10" s="338" t="s">
        <v>78</v>
      </c>
      <c r="BU10" s="338" t="s">
        <v>78</v>
      </c>
      <c r="BV10" s="338" t="s">
        <v>78</v>
      </c>
      <c r="BW10" s="338" t="s">
        <v>78</v>
      </c>
      <c r="BX10" s="338" t="s">
        <v>78</v>
      </c>
      <c r="BY10" s="338" t="s">
        <v>78</v>
      </c>
      <c r="BZ10" s="338" t="s">
        <v>78</v>
      </c>
      <c r="CA10" s="338" t="s">
        <v>78</v>
      </c>
      <c r="CB10" s="338" t="s">
        <v>78</v>
      </c>
      <c r="CC10" s="338" t="s">
        <v>78</v>
      </c>
      <c r="CD10" s="338" t="s">
        <v>78</v>
      </c>
      <c r="CE10" s="339" t="s">
        <v>78</v>
      </c>
      <c r="CF10" s="338" t="s">
        <v>78</v>
      </c>
      <c r="CG10" s="338" t="s">
        <v>78</v>
      </c>
      <c r="CH10" s="338" t="s">
        <v>78</v>
      </c>
      <c r="CI10" s="338" t="s">
        <v>78</v>
      </c>
      <c r="CJ10" s="339" t="s">
        <v>78</v>
      </c>
      <c r="CK10" s="338" t="s">
        <v>78</v>
      </c>
      <c r="CL10" s="338" t="s">
        <v>78</v>
      </c>
      <c r="CM10" s="338" t="s">
        <v>78</v>
      </c>
      <c r="CN10" s="338" t="s">
        <v>78</v>
      </c>
      <c r="CO10" s="338" t="s">
        <v>78</v>
      </c>
      <c r="CP10" s="338" t="s">
        <v>78</v>
      </c>
      <c r="CQ10" s="338" t="s">
        <v>78</v>
      </c>
      <c r="CR10" s="338" t="s">
        <v>78</v>
      </c>
      <c r="CS10" s="339" t="s">
        <v>78</v>
      </c>
      <c r="CT10" s="339" t="s">
        <v>78</v>
      </c>
      <c r="CU10" s="338" t="s">
        <v>78</v>
      </c>
      <c r="CV10" s="419" t="s">
        <v>78</v>
      </c>
      <c r="CW10" s="338" t="s">
        <v>78</v>
      </c>
      <c r="CX10" s="338" t="s">
        <v>78</v>
      </c>
      <c r="CY10" s="339" t="s">
        <v>78</v>
      </c>
      <c r="CZ10" s="419" t="s">
        <v>78</v>
      </c>
      <c r="DA10" s="338" t="s">
        <v>78</v>
      </c>
      <c r="DB10" s="338" t="s">
        <v>78</v>
      </c>
      <c r="DC10" s="338" t="s">
        <v>78</v>
      </c>
      <c r="DD10" s="338" t="s">
        <v>78</v>
      </c>
      <c r="DE10" s="338" t="s">
        <v>78</v>
      </c>
      <c r="DF10" s="338" t="s">
        <v>78</v>
      </c>
      <c r="DG10" s="338" t="s">
        <v>78</v>
      </c>
      <c r="DH10" s="339" t="s">
        <v>78</v>
      </c>
      <c r="DI10" s="339" t="s">
        <v>78</v>
      </c>
      <c r="DJ10" s="338" t="s">
        <v>78</v>
      </c>
      <c r="DK10" s="338" t="s">
        <v>78</v>
      </c>
      <c r="DL10" s="338" t="s">
        <v>78</v>
      </c>
      <c r="DM10" s="338" t="s">
        <v>78</v>
      </c>
      <c r="DN10" s="338" t="s">
        <v>78</v>
      </c>
      <c r="DO10" s="338" t="s">
        <v>78</v>
      </c>
      <c r="DP10" s="486" t="s">
        <v>78</v>
      </c>
    </row>
    <row r="11" spans="2:120" s="428" customFormat="1" ht="16.5" x14ac:dyDescent="0.35">
      <c r="B11" s="414"/>
      <c r="C11" s="415"/>
      <c r="D11" s="311"/>
      <c r="E11" s="186" t="s">
        <v>356</v>
      </c>
      <c r="F11" s="189" t="s">
        <v>427</v>
      </c>
      <c r="G11" s="421" t="s">
        <v>194</v>
      </c>
      <c r="H11" s="17" t="s">
        <v>78</v>
      </c>
      <c r="I11" s="422">
        <f>15000/10^6</f>
        <v>1.4999999999999999E-2</v>
      </c>
      <c r="J11" s="423" t="s">
        <v>78</v>
      </c>
      <c r="K11" s="420">
        <f>21/10^6</f>
        <v>2.0999999999999999E-5</v>
      </c>
      <c r="L11" s="135">
        <f>145/10^6</f>
        <v>1.45E-4</v>
      </c>
      <c r="M11" s="420">
        <f t="shared" si="1"/>
        <v>9.9999999999999995E-7</v>
      </c>
      <c r="N11" s="420">
        <f t="shared" si="1"/>
        <v>9.9999999999999995E-7</v>
      </c>
      <c r="O11" s="424">
        <f t="shared" ref="O11:O12" si="2">0.5%*P11</f>
        <v>1.2500000000000002E-7</v>
      </c>
      <c r="P11" s="419">
        <f>25/10^6</f>
        <v>2.5000000000000001E-5</v>
      </c>
      <c r="Q11" s="448" t="s">
        <v>78</v>
      </c>
      <c r="R11" s="420">
        <f>40/10^6</f>
        <v>4.0000000000000003E-5</v>
      </c>
      <c r="S11" s="420">
        <f>30/10^6</f>
        <v>3.0000000000000001E-5</v>
      </c>
      <c r="T11" s="95">
        <f>490/10^6</f>
        <v>4.8999999999999998E-4</v>
      </c>
      <c r="U11" s="425" t="s">
        <v>78</v>
      </c>
      <c r="V11" s="416" t="s">
        <v>78</v>
      </c>
      <c r="W11" s="420">
        <f>19/10^6</f>
        <v>1.9000000000000001E-5</v>
      </c>
      <c r="X11" s="423" t="s">
        <v>78</v>
      </c>
      <c r="Y11" s="420">
        <f>1/10^6</f>
        <v>9.9999999999999995E-7</v>
      </c>
      <c r="Z11" s="408">
        <f t="shared" si="0"/>
        <v>7.9500000000000005E-3</v>
      </c>
      <c r="AA11" s="550" t="s">
        <v>78</v>
      </c>
      <c r="AB11" s="425" t="s">
        <v>78</v>
      </c>
      <c r="AC11" s="427">
        <f>112/10^6</f>
        <v>1.12E-4</v>
      </c>
      <c r="AD11" s="418" t="s">
        <v>78</v>
      </c>
      <c r="AE11" s="419" t="s">
        <v>78</v>
      </c>
      <c r="AF11" s="420" t="s">
        <v>78</v>
      </c>
      <c r="AG11" s="419" t="s">
        <v>78</v>
      </c>
      <c r="AH11" s="420" t="s">
        <v>78</v>
      </c>
      <c r="AI11" s="420" t="s">
        <v>78</v>
      </c>
      <c r="AJ11" s="420" t="s">
        <v>78</v>
      </c>
      <c r="AK11" s="419" t="s">
        <v>78</v>
      </c>
      <c r="AL11" s="420" t="s">
        <v>78</v>
      </c>
      <c r="AM11" s="420" t="s">
        <v>78</v>
      </c>
      <c r="AN11" s="420" t="s">
        <v>78</v>
      </c>
      <c r="AO11" s="420" t="s">
        <v>78</v>
      </c>
      <c r="AP11" s="419" t="s">
        <v>78</v>
      </c>
      <c r="AQ11" s="419" t="s">
        <v>78</v>
      </c>
      <c r="AR11" s="420" t="s">
        <v>78</v>
      </c>
      <c r="AS11" s="420" t="s">
        <v>78</v>
      </c>
      <c r="AT11" s="420" t="s">
        <v>78</v>
      </c>
      <c r="AU11" s="420" t="s">
        <v>78</v>
      </c>
      <c r="AV11" s="340" t="s">
        <v>78</v>
      </c>
      <c r="AW11" s="338" t="s">
        <v>78</v>
      </c>
      <c r="AX11" s="338" t="s">
        <v>78</v>
      </c>
      <c r="AY11" s="338" t="s">
        <v>78</v>
      </c>
      <c r="AZ11" s="339" t="s">
        <v>78</v>
      </c>
      <c r="BA11" s="338" t="s">
        <v>78</v>
      </c>
      <c r="BB11" s="338" t="s">
        <v>78</v>
      </c>
      <c r="BC11" s="339" t="s">
        <v>78</v>
      </c>
      <c r="BD11" s="339" t="s">
        <v>78</v>
      </c>
      <c r="BE11" s="338" t="s">
        <v>78</v>
      </c>
      <c r="BF11" s="338" t="s">
        <v>78</v>
      </c>
      <c r="BG11" s="338" t="s">
        <v>78</v>
      </c>
      <c r="BH11" s="338" t="s">
        <v>78</v>
      </c>
      <c r="BI11" s="338" t="s">
        <v>78</v>
      </c>
      <c r="BJ11" s="338" t="s">
        <v>78</v>
      </c>
      <c r="BK11" s="339" t="s">
        <v>78</v>
      </c>
      <c r="BL11" s="339" t="s">
        <v>78</v>
      </c>
      <c r="BM11" s="338" t="s">
        <v>78</v>
      </c>
      <c r="BN11" s="338" t="s">
        <v>78</v>
      </c>
      <c r="BO11" s="338" t="s">
        <v>78</v>
      </c>
      <c r="BP11" s="338" t="s">
        <v>78</v>
      </c>
      <c r="BQ11" s="338" t="s">
        <v>78</v>
      </c>
      <c r="BR11" s="338" t="s">
        <v>78</v>
      </c>
      <c r="BS11" s="338" t="s">
        <v>78</v>
      </c>
      <c r="BT11" s="338" t="s">
        <v>78</v>
      </c>
      <c r="BU11" s="338" t="s">
        <v>78</v>
      </c>
      <c r="BV11" s="338" t="s">
        <v>78</v>
      </c>
      <c r="BW11" s="338" t="s">
        <v>78</v>
      </c>
      <c r="BX11" s="338" t="s">
        <v>78</v>
      </c>
      <c r="BY11" s="338" t="s">
        <v>78</v>
      </c>
      <c r="BZ11" s="338" t="s">
        <v>78</v>
      </c>
      <c r="CA11" s="338" t="s">
        <v>78</v>
      </c>
      <c r="CB11" s="338" t="s">
        <v>78</v>
      </c>
      <c r="CC11" s="338" t="s">
        <v>78</v>
      </c>
      <c r="CD11" s="338" t="s">
        <v>78</v>
      </c>
      <c r="CE11" s="339" t="s">
        <v>78</v>
      </c>
      <c r="CF11" s="338" t="s">
        <v>78</v>
      </c>
      <c r="CG11" s="338" t="s">
        <v>78</v>
      </c>
      <c r="CH11" s="338" t="s">
        <v>78</v>
      </c>
      <c r="CI11" s="338" t="s">
        <v>78</v>
      </c>
      <c r="CJ11" s="339" t="s">
        <v>78</v>
      </c>
      <c r="CK11" s="338" t="s">
        <v>78</v>
      </c>
      <c r="CL11" s="338" t="s">
        <v>78</v>
      </c>
      <c r="CM11" s="338" t="s">
        <v>78</v>
      </c>
      <c r="CN11" s="338" t="s">
        <v>78</v>
      </c>
      <c r="CO11" s="338" t="s">
        <v>78</v>
      </c>
      <c r="CP11" s="338" t="s">
        <v>78</v>
      </c>
      <c r="CQ11" s="338" t="s">
        <v>78</v>
      </c>
      <c r="CR11" s="338" t="s">
        <v>78</v>
      </c>
      <c r="CS11" s="339" t="s">
        <v>78</v>
      </c>
      <c r="CT11" s="339" t="s">
        <v>78</v>
      </c>
      <c r="CU11" s="338" t="s">
        <v>78</v>
      </c>
      <c r="CV11" s="419" t="s">
        <v>78</v>
      </c>
      <c r="CW11" s="338" t="s">
        <v>78</v>
      </c>
      <c r="CX11" s="338" t="s">
        <v>78</v>
      </c>
      <c r="CY11" s="339" t="s">
        <v>78</v>
      </c>
      <c r="CZ11" s="419" t="s">
        <v>78</v>
      </c>
      <c r="DA11" s="338" t="s">
        <v>78</v>
      </c>
      <c r="DB11" s="338" t="s">
        <v>78</v>
      </c>
      <c r="DC11" s="338" t="s">
        <v>78</v>
      </c>
      <c r="DD11" s="338" t="s">
        <v>78</v>
      </c>
      <c r="DE11" s="338" t="s">
        <v>78</v>
      </c>
      <c r="DF11" s="338" t="s">
        <v>78</v>
      </c>
      <c r="DG11" s="338" t="s">
        <v>78</v>
      </c>
      <c r="DH11" s="339" t="s">
        <v>78</v>
      </c>
      <c r="DI11" s="339" t="s">
        <v>78</v>
      </c>
      <c r="DJ11" s="338" t="s">
        <v>78</v>
      </c>
      <c r="DK11" s="338" t="s">
        <v>78</v>
      </c>
      <c r="DL11" s="338" t="s">
        <v>78</v>
      </c>
      <c r="DM11" s="338" t="s">
        <v>78</v>
      </c>
      <c r="DN11" s="338" t="s">
        <v>78</v>
      </c>
      <c r="DO11" s="338" t="s">
        <v>78</v>
      </c>
      <c r="DP11" s="486" t="s">
        <v>78</v>
      </c>
    </row>
    <row r="12" spans="2:120" s="428" customFormat="1" ht="16.5" x14ac:dyDescent="0.35">
      <c r="B12" s="414"/>
      <c r="C12" s="415"/>
      <c r="D12" s="311"/>
      <c r="E12" s="186" t="s">
        <v>357</v>
      </c>
      <c r="F12" s="189" t="s">
        <v>427</v>
      </c>
      <c r="G12" s="421" t="s">
        <v>194</v>
      </c>
      <c r="H12" s="17" t="s">
        <v>78</v>
      </c>
      <c r="I12" s="422">
        <f>15000/10^6</f>
        <v>1.4999999999999999E-2</v>
      </c>
      <c r="J12" s="423" t="s">
        <v>78</v>
      </c>
      <c r="K12" s="420">
        <f>21/10^6</f>
        <v>2.0999999999999999E-5</v>
      </c>
      <c r="L12" s="135">
        <f>145/10^6</f>
        <v>1.45E-4</v>
      </c>
      <c r="M12" s="420">
        <f t="shared" si="1"/>
        <v>9.9999999999999995E-7</v>
      </c>
      <c r="N12" s="420">
        <f t="shared" si="1"/>
        <v>9.9999999999999995E-7</v>
      </c>
      <c r="O12" s="424">
        <f t="shared" si="2"/>
        <v>1.2500000000000002E-7</v>
      </c>
      <c r="P12" s="419">
        <f>25/10^6</f>
        <v>2.5000000000000001E-5</v>
      </c>
      <c r="Q12" s="448" t="s">
        <v>78</v>
      </c>
      <c r="R12" s="420">
        <f>40/10^6</f>
        <v>4.0000000000000003E-5</v>
      </c>
      <c r="S12" s="420">
        <f>30/10^6</f>
        <v>3.0000000000000001E-5</v>
      </c>
      <c r="T12" s="95">
        <f>490/10^6</f>
        <v>4.8999999999999998E-4</v>
      </c>
      <c r="U12" s="425" t="s">
        <v>78</v>
      </c>
      <c r="V12" s="416" t="s">
        <v>78</v>
      </c>
      <c r="W12" s="420">
        <f>19/10^6</f>
        <v>1.9000000000000001E-5</v>
      </c>
      <c r="X12" s="423" t="s">
        <v>78</v>
      </c>
      <c r="Y12" s="420">
        <f>1/10^6</f>
        <v>9.9999999999999995E-7</v>
      </c>
      <c r="Z12" s="408">
        <f t="shared" si="0"/>
        <v>7.9500000000000005E-3</v>
      </c>
      <c r="AA12" s="550" t="s">
        <v>78</v>
      </c>
      <c r="AB12" s="425" t="s">
        <v>78</v>
      </c>
      <c r="AC12" s="427">
        <f>112/10^6</f>
        <v>1.12E-4</v>
      </c>
      <c r="AD12" s="418" t="s">
        <v>78</v>
      </c>
      <c r="AE12" s="419" t="s">
        <v>78</v>
      </c>
      <c r="AF12" s="420" t="s">
        <v>78</v>
      </c>
      <c r="AG12" s="419" t="s">
        <v>78</v>
      </c>
      <c r="AH12" s="420" t="s">
        <v>78</v>
      </c>
      <c r="AI12" s="420" t="s">
        <v>78</v>
      </c>
      <c r="AJ12" s="420" t="s">
        <v>78</v>
      </c>
      <c r="AK12" s="419" t="s">
        <v>78</v>
      </c>
      <c r="AL12" s="420" t="s">
        <v>78</v>
      </c>
      <c r="AM12" s="420" t="s">
        <v>78</v>
      </c>
      <c r="AN12" s="420" t="s">
        <v>78</v>
      </c>
      <c r="AO12" s="420" t="s">
        <v>78</v>
      </c>
      <c r="AP12" s="419" t="s">
        <v>78</v>
      </c>
      <c r="AQ12" s="419" t="s">
        <v>78</v>
      </c>
      <c r="AR12" s="420" t="s">
        <v>78</v>
      </c>
      <c r="AS12" s="420" t="s">
        <v>78</v>
      </c>
      <c r="AT12" s="420" t="s">
        <v>78</v>
      </c>
      <c r="AU12" s="420" t="s">
        <v>78</v>
      </c>
      <c r="AV12" s="340" t="s">
        <v>78</v>
      </c>
      <c r="AW12" s="338" t="s">
        <v>78</v>
      </c>
      <c r="AX12" s="338" t="s">
        <v>78</v>
      </c>
      <c r="AY12" s="338" t="s">
        <v>78</v>
      </c>
      <c r="AZ12" s="339" t="s">
        <v>78</v>
      </c>
      <c r="BA12" s="338" t="s">
        <v>78</v>
      </c>
      <c r="BB12" s="338" t="s">
        <v>78</v>
      </c>
      <c r="BC12" s="339" t="s">
        <v>78</v>
      </c>
      <c r="BD12" s="339" t="s">
        <v>78</v>
      </c>
      <c r="BE12" s="338" t="s">
        <v>78</v>
      </c>
      <c r="BF12" s="338" t="s">
        <v>78</v>
      </c>
      <c r="BG12" s="338" t="s">
        <v>78</v>
      </c>
      <c r="BH12" s="338" t="s">
        <v>78</v>
      </c>
      <c r="BI12" s="338" t="s">
        <v>78</v>
      </c>
      <c r="BJ12" s="338" t="s">
        <v>78</v>
      </c>
      <c r="BK12" s="339" t="s">
        <v>78</v>
      </c>
      <c r="BL12" s="339" t="s">
        <v>78</v>
      </c>
      <c r="BM12" s="338" t="s">
        <v>78</v>
      </c>
      <c r="BN12" s="338" t="s">
        <v>78</v>
      </c>
      <c r="BO12" s="338" t="s">
        <v>78</v>
      </c>
      <c r="BP12" s="338" t="s">
        <v>78</v>
      </c>
      <c r="BQ12" s="338" t="s">
        <v>78</v>
      </c>
      <c r="BR12" s="338" t="s">
        <v>78</v>
      </c>
      <c r="BS12" s="338" t="s">
        <v>78</v>
      </c>
      <c r="BT12" s="338" t="s">
        <v>78</v>
      </c>
      <c r="BU12" s="338" t="s">
        <v>78</v>
      </c>
      <c r="BV12" s="338" t="s">
        <v>78</v>
      </c>
      <c r="BW12" s="338" t="s">
        <v>78</v>
      </c>
      <c r="BX12" s="338" t="s">
        <v>78</v>
      </c>
      <c r="BY12" s="338" t="s">
        <v>78</v>
      </c>
      <c r="BZ12" s="338" t="s">
        <v>78</v>
      </c>
      <c r="CA12" s="338" t="s">
        <v>78</v>
      </c>
      <c r="CB12" s="338" t="s">
        <v>78</v>
      </c>
      <c r="CC12" s="338" t="s">
        <v>78</v>
      </c>
      <c r="CD12" s="338" t="s">
        <v>78</v>
      </c>
      <c r="CE12" s="339" t="s">
        <v>78</v>
      </c>
      <c r="CF12" s="338" t="s">
        <v>78</v>
      </c>
      <c r="CG12" s="338" t="s">
        <v>78</v>
      </c>
      <c r="CH12" s="338" t="s">
        <v>78</v>
      </c>
      <c r="CI12" s="338" t="s">
        <v>78</v>
      </c>
      <c r="CJ12" s="339" t="s">
        <v>78</v>
      </c>
      <c r="CK12" s="338" t="s">
        <v>78</v>
      </c>
      <c r="CL12" s="338" t="s">
        <v>78</v>
      </c>
      <c r="CM12" s="338" t="s">
        <v>78</v>
      </c>
      <c r="CN12" s="338" t="s">
        <v>78</v>
      </c>
      <c r="CO12" s="338" t="s">
        <v>78</v>
      </c>
      <c r="CP12" s="338" t="s">
        <v>78</v>
      </c>
      <c r="CQ12" s="338" t="s">
        <v>78</v>
      </c>
      <c r="CR12" s="338" t="s">
        <v>78</v>
      </c>
      <c r="CS12" s="339" t="s">
        <v>78</v>
      </c>
      <c r="CT12" s="339" t="s">
        <v>78</v>
      </c>
      <c r="CU12" s="338" t="s">
        <v>78</v>
      </c>
      <c r="CV12" s="419" t="s">
        <v>78</v>
      </c>
      <c r="CW12" s="338" t="s">
        <v>78</v>
      </c>
      <c r="CX12" s="338" t="s">
        <v>78</v>
      </c>
      <c r="CY12" s="339" t="s">
        <v>78</v>
      </c>
      <c r="CZ12" s="419" t="s">
        <v>78</v>
      </c>
      <c r="DA12" s="338" t="s">
        <v>78</v>
      </c>
      <c r="DB12" s="338" t="s">
        <v>78</v>
      </c>
      <c r="DC12" s="338" t="s">
        <v>78</v>
      </c>
      <c r="DD12" s="338" t="s">
        <v>78</v>
      </c>
      <c r="DE12" s="338" t="s">
        <v>78</v>
      </c>
      <c r="DF12" s="338" t="s">
        <v>78</v>
      </c>
      <c r="DG12" s="338" t="s">
        <v>78</v>
      </c>
      <c r="DH12" s="339" t="s">
        <v>78</v>
      </c>
      <c r="DI12" s="339" t="s">
        <v>78</v>
      </c>
      <c r="DJ12" s="338" t="s">
        <v>78</v>
      </c>
      <c r="DK12" s="338" t="s">
        <v>78</v>
      </c>
      <c r="DL12" s="338" t="s">
        <v>78</v>
      </c>
      <c r="DM12" s="338" t="s">
        <v>78</v>
      </c>
      <c r="DN12" s="338" t="s">
        <v>78</v>
      </c>
      <c r="DO12" s="338" t="s">
        <v>78</v>
      </c>
      <c r="DP12" s="486" t="s">
        <v>78</v>
      </c>
    </row>
    <row r="13" spans="2:120" ht="15" thickBot="1" x14ac:dyDescent="0.4">
      <c r="B13" s="429"/>
      <c r="C13" s="430"/>
      <c r="D13" s="431"/>
      <c r="E13" s="432"/>
      <c r="F13" s="80"/>
      <c r="G13" s="4"/>
      <c r="H13" s="3"/>
      <c r="I13" s="188"/>
      <c r="J13" s="241"/>
      <c r="K13" s="185"/>
      <c r="L13" s="70"/>
      <c r="M13" s="185"/>
      <c r="N13" s="3"/>
      <c r="O13" s="3"/>
      <c r="P13" s="70"/>
      <c r="Q13" s="325"/>
      <c r="R13" s="3"/>
      <c r="S13" s="3"/>
      <c r="T13" s="3"/>
      <c r="U13" s="3"/>
      <c r="V13" s="70"/>
      <c r="W13" s="3"/>
      <c r="X13" s="70"/>
      <c r="Y13" s="3"/>
      <c r="Z13" s="3"/>
      <c r="AA13" s="3"/>
      <c r="AB13" s="3"/>
      <c r="AC13" s="75"/>
      <c r="AD13" s="152"/>
      <c r="AE13" s="70"/>
      <c r="AF13" s="3"/>
      <c r="AG13" s="70"/>
      <c r="AH13" s="3"/>
      <c r="AI13" s="3"/>
      <c r="AJ13" s="3"/>
      <c r="AK13" s="70"/>
      <c r="AL13" s="3"/>
      <c r="AM13" s="3"/>
      <c r="AN13" s="3"/>
      <c r="AO13" s="3"/>
      <c r="AP13" s="70"/>
      <c r="AQ13" s="70"/>
      <c r="AR13" s="3"/>
      <c r="AS13" s="3"/>
      <c r="AT13" s="3"/>
      <c r="AU13" s="3"/>
      <c r="AV13" s="3"/>
      <c r="AW13" s="3"/>
      <c r="AX13" s="3"/>
      <c r="AY13" s="3"/>
      <c r="AZ13" s="70"/>
      <c r="BA13" s="3"/>
      <c r="BB13" s="3"/>
      <c r="BC13" s="70"/>
      <c r="BD13" s="70"/>
      <c r="BE13" s="3"/>
      <c r="BF13" s="3"/>
      <c r="BG13" s="3"/>
      <c r="BH13" s="3"/>
      <c r="BI13" s="3"/>
      <c r="BJ13" s="3"/>
      <c r="BK13" s="70"/>
      <c r="BL13" s="70"/>
      <c r="BM13" s="3"/>
      <c r="BN13" s="3"/>
      <c r="BO13" s="3"/>
      <c r="BP13" s="3"/>
      <c r="BQ13" s="3"/>
      <c r="BR13" s="3"/>
      <c r="BS13" s="3"/>
      <c r="BT13" s="3"/>
      <c r="BU13" s="3"/>
      <c r="BV13" s="3"/>
      <c r="BW13" s="3"/>
      <c r="BX13" s="3"/>
      <c r="BY13" s="3"/>
      <c r="BZ13" s="3"/>
      <c r="CA13" s="3"/>
      <c r="CB13" s="3"/>
      <c r="CC13" s="3"/>
      <c r="CD13" s="3"/>
      <c r="CE13" s="70"/>
      <c r="CF13" s="3"/>
      <c r="CG13" s="3"/>
      <c r="CH13" s="3"/>
      <c r="CI13" s="3"/>
      <c r="CJ13" s="70"/>
      <c r="CK13" s="3"/>
      <c r="CL13" s="3"/>
      <c r="CM13" s="3"/>
      <c r="CN13" s="3"/>
      <c r="CO13" s="3"/>
      <c r="CP13" s="3"/>
      <c r="CQ13" s="3"/>
      <c r="CR13" s="3"/>
      <c r="CS13" s="70"/>
      <c r="CT13" s="70"/>
      <c r="CU13" s="325"/>
      <c r="CV13" s="70"/>
      <c r="CW13" s="3"/>
      <c r="CX13" s="3"/>
      <c r="CY13" s="70"/>
      <c r="CZ13" s="70"/>
      <c r="DA13" s="3"/>
      <c r="DB13" s="3"/>
      <c r="DC13" s="3"/>
      <c r="DD13" s="3"/>
      <c r="DE13" s="3"/>
      <c r="DF13" s="3"/>
      <c r="DG13" s="3"/>
      <c r="DH13" s="70"/>
      <c r="DI13" s="70"/>
      <c r="DJ13" s="3"/>
      <c r="DK13" s="3"/>
      <c r="DL13" s="3"/>
      <c r="DM13" s="3"/>
      <c r="DN13" s="3"/>
      <c r="DO13" s="3"/>
      <c r="DP13" s="4"/>
    </row>
    <row r="14" spans="2:120" x14ac:dyDescent="0.35">
      <c r="B14" s="415"/>
      <c r="C14" s="415"/>
      <c r="D14" s="311"/>
      <c r="E14" s="415"/>
      <c r="F14" s="24"/>
      <c r="G14" s="8"/>
      <c r="H14" s="8"/>
      <c r="I14" s="8"/>
      <c r="J14" s="8"/>
      <c r="K14" s="8"/>
      <c r="L14" s="8"/>
      <c r="M14" s="8"/>
      <c r="N14" s="8"/>
      <c r="O14" s="8"/>
      <c r="P14" s="8"/>
      <c r="R14" s="8"/>
      <c r="S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V14" s="8"/>
      <c r="CW14" s="8"/>
      <c r="CX14" s="8"/>
      <c r="CY14" s="8"/>
      <c r="CZ14" s="8"/>
      <c r="DA14" s="8"/>
      <c r="DB14" s="8"/>
      <c r="DC14" s="8"/>
      <c r="DD14" s="8"/>
      <c r="DE14" s="8"/>
      <c r="DF14" s="8"/>
      <c r="DG14" s="8"/>
      <c r="DH14" s="8"/>
      <c r="DI14" s="8"/>
      <c r="DL14" s="8"/>
      <c r="DM14" s="8"/>
      <c r="DN14" s="8"/>
      <c r="DO14" s="8"/>
      <c r="DP14" s="8"/>
    </row>
    <row r="15" spans="2:120" x14ac:dyDescent="0.35">
      <c r="B15" s="293" t="s">
        <v>143</v>
      </c>
      <c r="C15" s="293"/>
      <c r="D15" s="311"/>
      <c r="E15" s="415"/>
      <c r="F15" s="24"/>
      <c r="G15" s="8"/>
      <c r="H15" s="8"/>
      <c r="I15" s="8"/>
      <c r="J15" s="8"/>
      <c r="K15" s="8"/>
      <c r="L15" s="8"/>
      <c r="M15" s="8"/>
      <c r="N15" s="8"/>
      <c r="O15" s="8"/>
      <c r="P15" s="8"/>
      <c r="R15" s="8"/>
      <c r="S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V15" s="8"/>
      <c r="CW15" s="8"/>
      <c r="CX15" s="8"/>
      <c r="CY15" s="8"/>
      <c r="CZ15" s="8"/>
      <c r="DA15" s="8"/>
      <c r="DB15" s="8"/>
      <c r="DC15" s="8"/>
      <c r="DD15" s="8"/>
      <c r="DE15" s="8"/>
      <c r="DF15" s="8"/>
      <c r="DG15" s="8"/>
      <c r="DH15" s="8"/>
      <c r="DI15" s="8"/>
      <c r="DL15" s="8"/>
      <c r="DM15" s="8"/>
      <c r="DN15" s="8"/>
      <c r="DO15" s="8"/>
      <c r="DP15" s="8"/>
    </row>
    <row r="16" spans="2:120" x14ac:dyDescent="0.35">
      <c r="B16" s="298" t="s">
        <v>256</v>
      </c>
      <c r="C16" s="288" t="s">
        <v>414</v>
      </c>
      <c r="D16" s="136"/>
      <c r="E16" s="136"/>
      <c r="F16" s="136"/>
      <c r="G16" s="136"/>
      <c r="H16" s="136"/>
      <c r="I16" s="8"/>
      <c r="J16" s="8"/>
      <c r="K16" s="8"/>
      <c r="L16" s="8"/>
      <c r="M16" s="8"/>
      <c r="N16" s="8"/>
      <c r="O16" s="8"/>
      <c r="P16" s="8"/>
      <c r="R16" s="8"/>
      <c r="S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V16" s="8"/>
      <c r="CW16" s="8"/>
      <c r="CX16" s="8"/>
      <c r="CY16" s="8"/>
      <c r="CZ16" s="8"/>
      <c r="DA16" s="8"/>
      <c r="DB16" s="8"/>
      <c r="DC16" s="8"/>
      <c r="DD16" s="8"/>
      <c r="DE16" s="8"/>
      <c r="DF16" s="8"/>
      <c r="DG16" s="8"/>
      <c r="DH16" s="8"/>
      <c r="DI16" s="8"/>
      <c r="DL16" s="8"/>
      <c r="DM16" s="8"/>
      <c r="DN16" s="8"/>
      <c r="DO16" s="8"/>
      <c r="DP16" s="8"/>
    </row>
    <row r="17" spans="1:158" x14ac:dyDescent="0.35">
      <c r="B17" s="298"/>
      <c r="C17" s="390" t="s">
        <v>353</v>
      </c>
      <c r="D17" s="311"/>
      <c r="E17" s="415"/>
      <c r="F17" s="24"/>
      <c r="G17" s="8"/>
      <c r="H17" s="8"/>
      <c r="I17" s="8"/>
      <c r="J17" s="8"/>
      <c r="K17" s="8"/>
      <c r="L17" s="8"/>
      <c r="M17" s="8"/>
      <c r="N17" s="8"/>
      <c r="O17" s="8"/>
      <c r="P17" s="8"/>
      <c r="R17" s="8"/>
      <c r="S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V17" s="8"/>
      <c r="CW17" s="8"/>
      <c r="CX17" s="8"/>
      <c r="CY17" s="8"/>
      <c r="CZ17" s="8"/>
      <c r="DA17" s="8"/>
      <c r="DB17" s="8"/>
      <c r="DC17" s="8"/>
      <c r="DD17" s="8"/>
      <c r="DE17" s="8"/>
      <c r="DF17" s="8"/>
      <c r="DG17" s="8"/>
      <c r="DH17" s="8"/>
      <c r="DI17" s="8"/>
      <c r="DL17" s="8"/>
      <c r="DM17" s="8"/>
      <c r="DN17" s="8"/>
      <c r="DO17" s="8"/>
      <c r="DP17" s="8"/>
    </row>
    <row r="18" spans="1:158" x14ac:dyDescent="0.35">
      <c r="A18" s="35"/>
      <c r="B18" s="298" t="s">
        <v>263</v>
      </c>
      <c r="C18" s="288" t="s">
        <v>471</v>
      </c>
      <c r="D18" s="287"/>
      <c r="E18" s="347"/>
      <c r="F18" s="505"/>
      <c r="G18" s="505"/>
      <c r="H18" s="505"/>
      <c r="I18" s="221"/>
      <c r="J18" s="221"/>
      <c r="K18" s="8"/>
      <c r="L18" s="8"/>
      <c r="M18" s="8"/>
      <c r="N18" s="8"/>
      <c r="O18" s="8"/>
      <c r="P18" s="8"/>
      <c r="R18" s="8"/>
      <c r="S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17"/>
      <c r="CH18" s="17"/>
      <c r="CI18" s="8"/>
      <c r="CJ18" s="8"/>
      <c r="CK18" s="8"/>
      <c r="CL18" s="8"/>
      <c r="CM18" s="8"/>
      <c r="CN18" s="8"/>
      <c r="CO18" s="8"/>
      <c r="CP18" s="8"/>
      <c r="CQ18" s="8"/>
      <c r="CR18" s="8"/>
      <c r="CS18" s="8"/>
      <c r="CT18" s="8"/>
      <c r="CV18" s="8"/>
      <c r="CW18" s="8"/>
      <c r="CX18" s="8"/>
      <c r="CY18" s="8"/>
      <c r="CZ18" s="8"/>
      <c r="DA18" s="8"/>
      <c r="DB18" s="8"/>
      <c r="DC18" s="8"/>
      <c r="DD18" s="8"/>
      <c r="DE18" s="8"/>
      <c r="DF18" s="8"/>
      <c r="DG18" s="8"/>
      <c r="DH18" s="8"/>
      <c r="DI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row>
    <row r="19" spans="1:158" x14ac:dyDescent="0.35">
      <c r="A19" s="35"/>
      <c r="B19" s="433"/>
      <c r="C19" s="580" t="s">
        <v>472</v>
      </c>
      <c r="D19" s="580"/>
      <c r="E19" s="580"/>
      <c r="F19" s="580"/>
      <c r="G19" s="580"/>
      <c r="H19" s="505"/>
      <c r="I19" s="221"/>
      <c r="J19" s="221"/>
      <c r="K19" s="8"/>
      <c r="L19" s="8"/>
      <c r="M19" s="8"/>
      <c r="N19" s="8"/>
      <c r="O19" s="8"/>
      <c r="P19" s="8"/>
      <c r="R19" s="8"/>
      <c r="S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17"/>
      <c r="CH19" s="17"/>
      <c r="CI19" s="8"/>
      <c r="CJ19" s="8"/>
      <c r="CK19" s="8"/>
      <c r="CL19" s="8"/>
      <c r="CM19" s="8"/>
      <c r="CN19" s="8"/>
      <c r="CO19" s="8"/>
      <c r="CP19" s="8"/>
      <c r="CQ19" s="8"/>
      <c r="CR19" s="8"/>
      <c r="CS19" s="8"/>
      <c r="CT19" s="8"/>
      <c r="CV19" s="8"/>
      <c r="CW19" s="8"/>
      <c r="CX19" s="8"/>
      <c r="CY19" s="8"/>
      <c r="CZ19" s="8"/>
      <c r="DA19" s="8"/>
      <c r="DB19" s="8"/>
      <c r="DC19" s="8"/>
      <c r="DD19" s="8"/>
      <c r="DE19" s="8"/>
      <c r="DF19" s="8"/>
      <c r="DG19" s="8"/>
      <c r="DH19" s="8"/>
      <c r="DI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row>
    <row r="20" spans="1:158" x14ac:dyDescent="0.35">
      <c r="B20" s="298" t="s">
        <v>264</v>
      </c>
      <c r="C20" s="288" t="s">
        <v>415</v>
      </c>
      <c r="D20" s="9"/>
      <c r="E20" s="16"/>
      <c r="F20" s="24"/>
      <c r="G20" s="8"/>
      <c r="H20" s="8"/>
      <c r="I20" s="8"/>
      <c r="J20" s="8"/>
      <c r="K20" s="8"/>
      <c r="L20" s="8"/>
      <c r="M20" s="8"/>
      <c r="N20" s="8"/>
      <c r="O20" s="8"/>
      <c r="P20" s="8"/>
      <c r="R20" s="8"/>
      <c r="S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V20" s="8"/>
      <c r="CW20" s="8"/>
      <c r="CX20" s="8"/>
      <c r="CY20" s="8"/>
      <c r="CZ20" s="8"/>
      <c r="DA20" s="8"/>
      <c r="DB20" s="8"/>
      <c r="DC20" s="8"/>
      <c r="DD20" s="8"/>
      <c r="DE20" s="8"/>
      <c r="DF20" s="8"/>
      <c r="DG20" s="8"/>
      <c r="DH20" s="8"/>
      <c r="DI20" s="8"/>
      <c r="DL20" s="8"/>
      <c r="DM20" s="8"/>
      <c r="DN20" s="8"/>
      <c r="DO20" s="8"/>
      <c r="DP20" s="8"/>
    </row>
    <row r="21" spans="1:158" x14ac:dyDescent="0.35">
      <c r="B21" s="298"/>
      <c r="C21" s="390" t="s">
        <v>353</v>
      </c>
      <c r="D21" s="9"/>
      <c r="E21" s="16"/>
      <c r="F21" s="24"/>
      <c r="G21" s="8"/>
      <c r="H21" s="8"/>
      <c r="I21" s="8"/>
      <c r="J21" s="8"/>
      <c r="K21" s="8"/>
      <c r="L21" s="8"/>
      <c r="M21" s="8"/>
      <c r="N21" s="8"/>
      <c r="O21" s="8"/>
      <c r="P21" s="8"/>
      <c r="R21" s="8"/>
      <c r="S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V21" s="8"/>
      <c r="CW21" s="8"/>
      <c r="CX21" s="8"/>
      <c r="CY21" s="8"/>
      <c r="CZ21" s="8"/>
      <c r="DA21" s="8"/>
      <c r="DB21" s="8"/>
      <c r="DC21" s="8"/>
      <c r="DD21" s="8"/>
      <c r="DE21" s="8"/>
      <c r="DF21" s="8"/>
      <c r="DG21" s="8"/>
      <c r="DH21" s="8"/>
      <c r="DI21" s="8"/>
      <c r="DL21" s="8"/>
      <c r="DM21" s="8"/>
      <c r="DN21" s="8"/>
      <c r="DO21" s="8"/>
      <c r="DP21" s="8"/>
    </row>
    <row r="22" spans="1:158" x14ac:dyDescent="0.35">
      <c r="B22" s="298" t="s">
        <v>265</v>
      </c>
      <c r="C22" s="288" t="s">
        <v>407</v>
      </c>
      <c r="D22" s="136"/>
      <c r="E22" s="136"/>
      <c r="F22" s="136"/>
      <c r="G22" s="136"/>
      <c r="H22" s="136"/>
      <c r="I22" s="8"/>
      <c r="J22" s="8"/>
      <c r="K22" s="8"/>
      <c r="L22" s="8"/>
      <c r="M22" s="8"/>
      <c r="N22" s="8"/>
      <c r="O22" s="8"/>
      <c r="P22" s="8"/>
      <c r="R22" s="8"/>
      <c r="S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V22" s="8"/>
      <c r="CW22" s="8"/>
      <c r="CX22" s="8"/>
      <c r="CY22" s="8"/>
      <c r="CZ22" s="8"/>
      <c r="DA22" s="8"/>
      <c r="DB22" s="8"/>
      <c r="DC22" s="8"/>
      <c r="DD22" s="8"/>
      <c r="DE22" s="8"/>
      <c r="DF22" s="8"/>
      <c r="DG22" s="8"/>
      <c r="DH22" s="8"/>
      <c r="DI22" s="8"/>
      <c r="DL22" s="8"/>
      <c r="DM22" s="8"/>
      <c r="DN22" s="8"/>
      <c r="DO22" s="8"/>
      <c r="DP22" s="8"/>
    </row>
    <row r="23" spans="1:158" x14ac:dyDescent="0.35">
      <c r="B23" s="298"/>
      <c r="C23" s="390" t="s">
        <v>353</v>
      </c>
      <c r="D23" s="9"/>
      <c r="E23" s="16"/>
      <c r="F23" s="24"/>
      <c r="G23" s="8"/>
      <c r="H23" s="8"/>
      <c r="I23" s="8"/>
      <c r="J23" s="8"/>
      <c r="K23" s="8"/>
      <c r="L23" s="8"/>
      <c r="M23" s="8"/>
      <c r="N23" s="8"/>
      <c r="O23" s="8"/>
      <c r="P23" s="8"/>
      <c r="R23" s="8"/>
      <c r="S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V23" s="8"/>
      <c r="CW23" s="8"/>
      <c r="CY23" s="8"/>
      <c r="CZ23" s="8"/>
      <c r="DA23" s="8"/>
      <c r="DB23" s="8"/>
      <c r="DC23" s="8"/>
      <c r="DD23" s="8"/>
      <c r="DE23" s="8"/>
      <c r="DF23" s="8"/>
      <c r="DG23" s="8"/>
      <c r="DH23" s="8"/>
      <c r="DI23" s="8"/>
      <c r="DL23" s="8"/>
      <c r="DM23" s="8"/>
      <c r="DN23" s="8"/>
      <c r="DO23" s="8"/>
      <c r="DP23" s="8"/>
    </row>
    <row r="24" spans="1:158" x14ac:dyDescent="0.35">
      <c r="A24" s="35"/>
      <c r="B24" s="298" t="s">
        <v>266</v>
      </c>
      <c r="C24" s="577" t="s">
        <v>473</v>
      </c>
      <c r="D24" s="577"/>
      <c r="E24" s="577"/>
      <c r="F24" s="577"/>
      <c r="G24" s="577"/>
      <c r="H24" s="523"/>
      <c r="I24" s="221"/>
      <c r="J24" s="221"/>
      <c r="K24" s="8"/>
      <c r="L24" s="8"/>
      <c r="M24" s="8"/>
      <c r="N24" s="8"/>
      <c r="O24" s="8"/>
      <c r="P24" s="8"/>
      <c r="R24" s="8"/>
      <c r="S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17"/>
      <c r="CH24" s="17"/>
      <c r="CI24" s="8"/>
      <c r="CJ24" s="8"/>
      <c r="CK24" s="8"/>
      <c r="CL24" s="8"/>
      <c r="CM24" s="8"/>
      <c r="CN24" s="8"/>
      <c r="CO24" s="8"/>
      <c r="CP24" s="8"/>
      <c r="CQ24" s="8"/>
      <c r="CR24" s="8"/>
      <c r="CS24" s="8"/>
      <c r="CT24" s="8"/>
      <c r="CV24" s="8"/>
      <c r="CW24" s="8"/>
      <c r="CX24" s="8"/>
      <c r="CY24" s="8"/>
      <c r="CZ24" s="8"/>
      <c r="DA24" s="8"/>
      <c r="DB24" s="8"/>
      <c r="DC24" s="8"/>
      <c r="DD24" s="8"/>
      <c r="DE24" s="8"/>
      <c r="DF24" s="8"/>
      <c r="DG24" s="8"/>
      <c r="DH24" s="8"/>
      <c r="DI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row>
    <row r="25" spans="1:158" x14ac:dyDescent="0.35">
      <c r="A25" s="35"/>
      <c r="B25" s="433"/>
      <c r="C25" s="390" t="s">
        <v>474</v>
      </c>
      <c r="D25" s="287"/>
      <c r="E25" s="347"/>
      <c r="F25" s="505"/>
      <c r="G25" s="505"/>
      <c r="H25" s="505"/>
      <c r="I25" s="221"/>
      <c r="J25" s="221"/>
      <c r="K25" s="8"/>
      <c r="L25" s="8"/>
      <c r="M25" s="8"/>
      <c r="N25" s="8"/>
      <c r="O25" s="8"/>
      <c r="P25" s="8"/>
      <c r="R25" s="8"/>
      <c r="S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17"/>
      <c r="CH25" s="17"/>
      <c r="CI25" s="8"/>
      <c r="CJ25" s="8"/>
      <c r="CK25" s="8"/>
      <c r="CL25" s="8"/>
      <c r="CM25" s="8"/>
      <c r="CN25" s="8"/>
      <c r="CO25" s="8"/>
      <c r="CP25" s="8"/>
      <c r="CQ25" s="8"/>
      <c r="CR25" s="8"/>
      <c r="CS25" s="8"/>
      <c r="CT25" s="8"/>
      <c r="CV25" s="8"/>
      <c r="CW25" s="8"/>
      <c r="CX25" s="8"/>
      <c r="CY25" s="8"/>
      <c r="CZ25" s="8"/>
      <c r="DA25" s="8"/>
      <c r="DB25" s="8"/>
      <c r="DC25" s="8"/>
      <c r="DD25" s="8"/>
      <c r="DE25" s="8"/>
      <c r="DF25" s="8"/>
      <c r="DG25" s="8"/>
      <c r="DH25" s="8"/>
      <c r="DI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row>
    <row r="26" spans="1:158" x14ac:dyDescent="0.35">
      <c r="A26" s="35"/>
      <c r="B26" s="298" t="s">
        <v>267</v>
      </c>
      <c r="C26" s="288" t="s">
        <v>397</v>
      </c>
      <c r="D26" s="287"/>
      <c r="E26" s="347"/>
      <c r="F26" s="505"/>
      <c r="G26" s="505"/>
      <c r="H26" s="505"/>
      <c r="I26" s="221"/>
      <c r="J26" s="221"/>
      <c r="K26" s="8"/>
      <c r="L26" s="8"/>
      <c r="M26" s="8"/>
      <c r="N26" s="8"/>
      <c r="O26" s="8"/>
      <c r="P26" s="8"/>
      <c r="R26" s="8"/>
      <c r="S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17"/>
      <c r="CH26" s="17"/>
      <c r="CI26" s="8"/>
      <c r="CJ26" s="8"/>
      <c r="CK26" s="8"/>
      <c r="CL26" s="8"/>
      <c r="CM26" s="8"/>
      <c r="CN26" s="8"/>
      <c r="CO26" s="8"/>
      <c r="CP26" s="8"/>
      <c r="CQ26" s="8"/>
      <c r="CR26" s="8"/>
      <c r="CS26" s="8"/>
      <c r="CT26" s="8"/>
      <c r="CV26" s="8"/>
      <c r="CW26" s="8"/>
      <c r="CX26" s="8"/>
      <c r="CY26" s="8"/>
      <c r="CZ26" s="8"/>
      <c r="DA26" s="8"/>
      <c r="DB26" s="8"/>
      <c r="DC26" s="8"/>
      <c r="DD26" s="8"/>
      <c r="DE26" s="8"/>
      <c r="DF26" s="8"/>
      <c r="DG26" s="8"/>
      <c r="DH26" s="8"/>
      <c r="DI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row>
    <row r="27" spans="1:158" x14ac:dyDescent="0.35">
      <c r="A27" s="35"/>
      <c r="B27" s="297"/>
      <c r="C27" s="347" t="s">
        <v>398</v>
      </c>
      <c r="D27" s="287"/>
      <c r="E27" s="347"/>
      <c r="F27" s="505"/>
      <c r="G27" s="505"/>
      <c r="H27" s="505"/>
      <c r="I27" s="221"/>
      <c r="J27" s="221"/>
      <c r="K27" s="8"/>
      <c r="L27" s="8"/>
      <c r="M27" s="8"/>
      <c r="N27" s="8"/>
      <c r="O27" s="8"/>
      <c r="P27" s="8"/>
      <c r="R27" s="8"/>
      <c r="S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17"/>
      <c r="CH27" s="17"/>
      <c r="CI27" s="8"/>
      <c r="CJ27" s="8"/>
      <c r="CK27" s="8"/>
      <c r="CL27" s="8"/>
      <c r="CM27" s="8"/>
      <c r="CN27" s="8"/>
      <c r="CO27" s="8"/>
      <c r="CP27" s="8"/>
      <c r="CQ27" s="8"/>
      <c r="CR27" s="8"/>
      <c r="CS27" s="8"/>
      <c r="CT27" s="8"/>
      <c r="CV27" s="8"/>
      <c r="CW27" s="8"/>
      <c r="CX27" s="8"/>
      <c r="CY27" s="8"/>
      <c r="CZ27" s="8"/>
      <c r="DA27" s="8"/>
      <c r="DB27" s="8"/>
      <c r="DC27" s="8"/>
      <c r="DD27" s="8"/>
      <c r="DE27" s="8"/>
      <c r="DF27" s="8"/>
      <c r="DG27" s="8"/>
      <c r="DH27" s="8"/>
      <c r="DI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row>
    <row r="28" spans="1:158" x14ac:dyDescent="0.35">
      <c r="A28" s="35"/>
      <c r="B28" s="433"/>
      <c r="C28" s="347"/>
      <c r="D28" s="287"/>
      <c r="E28" s="347"/>
      <c r="F28" s="505"/>
      <c r="G28" s="505"/>
      <c r="H28" s="505"/>
      <c r="I28" s="221"/>
      <c r="J28" s="221"/>
      <c r="K28" s="8"/>
      <c r="L28" s="8"/>
      <c r="M28" s="8"/>
      <c r="N28" s="8"/>
      <c r="O28" s="8"/>
      <c r="P28" s="8"/>
      <c r="R28" s="8"/>
      <c r="S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17"/>
      <c r="CH28" s="17"/>
      <c r="CI28" s="8"/>
      <c r="CJ28" s="8"/>
      <c r="CK28" s="8"/>
      <c r="CL28" s="8"/>
      <c r="CM28" s="8"/>
      <c r="CN28" s="8"/>
      <c r="CO28" s="8"/>
      <c r="CP28" s="8"/>
      <c r="CQ28" s="8"/>
      <c r="CR28" s="8"/>
      <c r="CS28" s="8"/>
      <c r="CT28" s="8"/>
      <c r="CV28" s="8"/>
      <c r="CW28" s="8"/>
      <c r="CX28" s="8"/>
      <c r="CY28" s="8"/>
      <c r="CZ28" s="8"/>
      <c r="DA28" s="8"/>
      <c r="DB28" s="8"/>
      <c r="DC28" s="8"/>
      <c r="DD28" s="8"/>
      <c r="DE28" s="8"/>
      <c r="DF28" s="8"/>
      <c r="DG28" s="8"/>
      <c r="DH28" s="8"/>
      <c r="DI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row>
    <row r="29" spans="1:158" x14ac:dyDescent="0.35">
      <c r="B29" s="293" t="s">
        <v>84</v>
      </c>
      <c r="C29" s="293"/>
      <c r="D29" s="9"/>
      <c r="E29" s="16"/>
      <c r="F29" s="24"/>
      <c r="G29" s="8"/>
      <c r="H29" s="8"/>
      <c r="I29" s="8"/>
      <c r="J29" s="8"/>
      <c r="K29" s="8"/>
      <c r="L29" s="8"/>
      <c r="M29" s="8"/>
      <c r="N29" s="8"/>
      <c r="O29" s="8"/>
      <c r="P29" s="8"/>
      <c r="R29" s="8"/>
      <c r="S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V29" s="8"/>
      <c r="CW29" s="8"/>
      <c r="CX29" s="8"/>
      <c r="CY29" s="8"/>
      <c r="CZ29" s="8"/>
      <c r="DA29" s="8"/>
      <c r="DB29" s="8"/>
      <c r="DC29" s="8"/>
      <c r="DD29" s="8"/>
      <c r="DE29" s="8"/>
      <c r="DF29" s="8"/>
      <c r="DG29" s="8"/>
      <c r="DH29" s="8"/>
      <c r="DI29" s="8"/>
      <c r="DL29" s="8"/>
      <c r="DM29" s="8"/>
      <c r="DN29" s="8"/>
      <c r="DO29" s="8"/>
      <c r="DP29" s="8"/>
    </row>
    <row r="30" spans="1:158" x14ac:dyDescent="0.35">
      <c r="B30" s="298" t="s">
        <v>256</v>
      </c>
      <c r="C30" s="310" t="s">
        <v>354</v>
      </c>
      <c r="D30" s="306"/>
      <c r="E30" s="306"/>
      <c r="F30" s="306"/>
      <c r="G30" s="306"/>
      <c r="H30" s="306"/>
      <c r="I30" s="8"/>
      <c r="J30" s="8"/>
      <c r="K30" s="8"/>
      <c r="L30" s="8"/>
      <c r="M30" s="8"/>
      <c r="N30" s="8"/>
      <c r="O30" s="8"/>
      <c r="P30" s="8"/>
      <c r="R30" s="8"/>
      <c r="S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V30" s="8"/>
      <c r="CW30" s="8"/>
      <c r="CX30" s="8"/>
      <c r="CY30" s="8"/>
      <c r="CZ30" s="8"/>
      <c r="DA30" s="8"/>
      <c r="DB30" s="8"/>
      <c r="DC30" s="8"/>
      <c r="DD30" s="8"/>
      <c r="DE30" s="8"/>
      <c r="DF30" s="8"/>
      <c r="DG30" s="8"/>
      <c r="DH30" s="8"/>
      <c r="DI30" s="8"/>
      <c r="DL30" s="8"/>
      <c r="DM30" s="8"/>
      <c r="DN30" s="8"/>
      <c r="DO30" s="8"/>
      <c r="DP30" s="8"/>
    </row>
    <row r="31" spans="1:158" x14ac:dyDescent="0.35">
      <c r="B31" s="298" t="s">
        <v>263</v>
      </c>
      <c r="C31" s="287" t="s">
        <v>448</v>
      </c>
      <c r="D31" s="306"/>
      <c r="E31" s="306"/>
      <c r="F31" s="306"/>
      <c r="G31" s="306"/>
      <c r="H31" s="306"/>
      <c r="I31" s="8"/>
      <c r="J31" s="8"/>
      <c r="K31" s="8"/>
      <c r="L31" s="8"/>
      <c r="M31" s="8"/>
      <c r="N31" s="8"/>
      <c r="O31" s="8"/>
      <c r="P31" s="8"/>
      <c r="R31" s="8"/>
      <c r="S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V31" s="8"/>
      <c r="CW31" s="8"/>
      <c r="CX31" s="8"/>
      <c r="CY31" s="8"/>
      <c r="CZ31" s="8"/>
      <c r="DA31" s="8"/>
      <c r="DB31" s="8"/>
      <c r="DC31" s="8"/>
      <c r="DD31" s="8"/>
      <c r="DE31" s="8"/>
      <c r="DF31" s="8"/>
      <c r="DG31" s="8"/>
      <c r="DH31" s="8"/>
      <c r="DI31" s="8"/>
      <c r="DL31" s="8"/>
      <c r="DM31" s="8"/>
      <c r="DN31" s="8"/>
      <c r="DO31" s="8"/>
      <c r="DP31" s="8"/>
    </row>
    <row r="32" spans="1:158" x14ac:dyDescent="0.35">
      <c r="B32" s="298" t="s">
        <v>264</v>
      </c>
      <c r="C32" s="310" t="s">
        <v>321</v>
      </c>
      <c r="D32" s="306"/>
      <c r="E32" s="306"/>
      <c r="F32" s="306"/>
      <c r="G32" s="306"/>
      <c r="H32" s="306"/>
      <c r="I32" s="8"/>
      <c r="J32" s="8"/>
      <c r="K32" s="8"/>
      <c r="L32" s="8"/>
      <c r="M32" s="8"/>
      <c r="N32" s="8"/>
      <c r="O32" s="8"/>
      <c r="P32" s="8"/>
      <c r="R32" s="8"/>
      <c r="S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V32" s="8"/>
      <c r="CW32" s="8"/>
      <c r="CX32" s="8"/>
      <c r="CY32" s="8"/>
      <c r="CZ32" s="8"/>
      <c r="DA32" s="8"/>
      <c r="DB32" s="8"/>
      <c r="DC32" s="8"/>
      <c r="DD32" s="8"/>
      <c r="DE32" s="8"/>
      <c r="DF32" s="8"/>
      <c r="DG32" s="8"/>
      <c r="DH32" s="8"/>
      <c r="DI32" s="8"/>
      <c r="DL32" s="8"/>
      <c r="DM32" s="8"/>
      <c r="DN32" s="8"/>
      <c r="DO32" s="8"/>
      <c r="DP32" s="8"/>
    </row>
    <row r="33" spans="2:120" x14ac:dyDescent="0.35">
      <c r="B33" s="298" t="s">
        <v>265</v>
      </c>
      <c r="C33" s="287" t="s">
        <v>258</v>
      </c>
      <c r="D33" s="9"/>
      <c r="E33" s="16"/>
      <c r="F33" s="24"/>
      <c r="G33" s="8"/>
      <c r="H33" s="8"/>
      <c r="I33" s="8"/>
      <c r="J33" s="8"/>
      <c r="K33" s="8"/>
      <c r="L33" s="8"/>
      <c r="M33" s="8"/>
      <c r="N33" s="8"/>
      <c r="O33" s="8"/>
      <c r="P33" s="8"/>
      <c r="R33" s="8"/>
      <c r="S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V33" s="8"/>
      <c r="CW33" s="8"/>
      <c r="CX33" s="8"/>
      <c r="CY33" s="8"/>
      <c r="CZ33" s="8"/>
      <c r="DA33" s="8"/>
      <c r="DB33" s="8"/>
      <c r="DC33" s="8"/>
      <c r="DD33" s="8"/>
      <c r="DE33" s="8"/>
      <c r="DF33" s="8"/>
      <c r="DG33" s="8"/>
      <c r="DH33" s="8"/>
      <c r="DI33" s="8"/>
      <c r="DL33" s="8"/>
      <c r="DM33" s="8"/>
      <c r="DN33" s="8"/>
      <c r="DO33" s="8"/>
      <c r="DP33" s="8"/>
    </row>
    <row r="34" spans="2:120" x14ac:dyDescent="0.35">
      <c r="B34" s="16"/>
      <c r="C34" s="16"/>
      <c r="D34" s="9"/>
      <c r="E34" s="16"/>
      <c r="F34" s="24"/>
      <c r="G34" s="8"/>
      <c r="H34" s="8"/>
      <c r="I34" s="8"/>
      <c r="J34" s="8"/>
      <c r="K34" s="8"/>
      <c r="L34" s="8"/>
      <c r="M34" s="8"/>
      <c r="N34" s="8"/>
      <c r="O34" s="8"/>
      <c r="P34" s="8"/>
      <c r="R34" s="8"/>
      <c r="S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V34" s="8"/>
      <c r="CW34" s="8"/>
      <c r="CX34" s="8"/>
      <c r="CY34" s="8"/>
      <c r="CZ34" s="8"/>
      <c r="DA34" s="8"/>
      <c r="DB34" s="8"/>
      <c r="DC34" s="8"/>
      <c r="DD34" s="8"/>
      <c r="DE34" s="8"/>
      <c r="DF34" s="8"/>
      <c r="DG34" s="8"/>
      <c r="DH34" s="8"/>
      <c r="DI34" s="8"/>
      <c r="DL34" s="8"/>
      <c r="DM34" s="8"/>
      <c r="DN34" s="8"/>
      <c r="DO34" s="8"/>
      <c r="DP34" s="8"/>
    </row>
    <row r="35" spans="2:120" x14ac:dyDescent="0.35">
      <c r="B35" s="16"/>
      <c r="C35" s="16"/>
      <c r="D35" s="9"/>
      <c r="E35" s="16"/>
      <c r="F35" s="24"/>
      <c r="G35" s="8"/>
      <c r="H35" s="8"/>
      <c r="I35" s="8"/>
      <c r="J35" s="8"/>
      <c r="K35" s="8"/>
      <c r="L35" s="8"/>
      <c r="M35" s="8"/>
      <c r="N35" s="8"/>
      <c r="O35" s="8"/>
      <c r="P35" s="8"/>
      <c r="R35" s="8"/>
      <c r="S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V35" s="8"/>
      <c r="CW35" s="8"/>
      <c r="CX35" s="8"/>
      <c r="CY35" s="8"/>
      <c r="CZ35" s="8"/>
      <c r="DA35" s="8"/>
      <c r="DB35" s="8"/>
      <c r="DC35" s="8"/>
      <c r="DD35" s="8"/>
      <c r="DE35" s="8"/>
      <c r="DF35" s="8"/>
      <c r="DG35" s="8"/>
      <c r="DH35" s="8"/>
      <c r="DI35" s="8"/>
      <c r="DL35" s="8"/>
      <c r="DM35" s="8"/>
      <c r="DN35" s="8"/>
      <c r="DO35" s="8"/>
      <c r="DP35" s="8"/>
    </row>
    <row r="36" spans="2:120" x14ac:dyDescent="0.35">
      <c r="B36" s="16"/>
      <c r="C36" s="16"/>
      <c r="D36" s="9"/>
      <c r="E36" s="16"/>
      <c r="F36" s="24"/>
      <c r="G36" s="8"/>
      <c r="H36" s="8"/>
      <c r="I36" s="8"/>
      <c r="J36" s="8"/>
      <c r="K36" s="8"/>
      <c r="L36" s="8"/>
      <c r="M36" s="8"/>
      <c r="N36" s="8"/>
      <c r="O36" s="8"/>
      <c r="P36" s="8"/>
      <c r="R36" s="8"/>
      <c r="S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V36" s="8"/>
      <c r="CW36" s="8"/>
      <c r="CX36" s="8"/>
      <c r="CY36" s="8"/>
      <c r="CZ36" s="8"/>
      <c r="DA36" s="8"/>
      <c r="DB36" s="8"/>
      <c r="DC36" s="8"/>
      <c r="DD36" s="8"/>
      <c r="DE36" s="8"/>
      <c r="DF36" s="8"/>
      <c r="DG36" s="8"/>
      <c r="DH36" s="8"/>
      <c r="DI36" s="8"/>
      <c r="DL36" s="8"/>
      <c r="DM36" s="8"/>
      <c r="DN36" s="8"/>
      <c r="DO36" s="8"/>
      <c r="DP36" s="8"/>
    </row>
    <row r="37" spans="2:120" x14ac:dyDescent="0.35">
      <c r="B37" s="16"/>
      <c r="C37" s="16"/>
      <c r="D37" s="9"/>
      <c r="E37" s="16"/>
      <c r="F37" s="24"/>
      <c r="G37" s="8"/>
      <c r="H37" s="8"/>
      <c r="I37" s="8"/>
      <c r="J37" s="8"/>
      <c r="K37" s="8"/>
      <c r="L37" s="8"/>
      <c r="M37" s="8"/>
      <c r="N37" s="8"/>
      <c r="O37" s="8"/>
      <c r="P37" s="8"/>
      <c r="R37" s="8"/>
      <c r="S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V37" s="8"/>
      <c r="CW37" s="8"/>
      <c r="CX37" s="8"/>
      <c r="CY37" s="8"/>
      <c r="CZ37" s="8"/>
      <c r="DA37" s="8"/>
      <c r="DB37" s="8"/>
      <c r="DC37" s="8"/>
      <c r="DD37" s="8"/>
      <c r="DE37" s="8"/>
      <c r="DF37" s="8"/>
      <c r="DG37" s="8"/>
      <c r="DH37" s="8"/>
      <c r="DI37" s="8"/>
      <c r="DL37" s="8"/>
      <c r="DM37" s="8"/>
      <c r="DN37" s="8"/>
      <c r="DO37" s="8"/>
      <c r="DP37" s="8"/>
    </row>
    <row r="38" spans="2:120" x14ac:dyDescent="0.35">
      <c r="B38" s="8"/>
      <c r="C38" s="8"/>
      <c r="D38" s="8"/>
      <c r="E38" s="8"/>
      <c r="F38" s="24"/>
      <c r="G38" s="8"/>
      <c r="H38" s="8"/>
      <c r="I38" s="8"/>
      <c r="J38" s="8"/>
      <c r="K38" s="8"/>
      <c r="L38" s="8"/>
      <c r="M38" s="8"/>
      <c r="N38" s="8"/>
      <c r="O38" s="8"/>
      <c r="P38" s="8"/>
      <c r="R38" s="8"/>
      <c r="S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V38" s="8"/>
      <c r="CW38" s="8"/>
      <c r="CX38" s="8"/>
      <c r="CY38" s="8"/>
      <c r="CZ38" s="8"/>
      <c r="DA38" s="8"/>
      <c r="DB38" s="8"/>
      <c r="DC38" s="8"/>
      <c r="DD38" s="8"/>
      <c r="DE38" s="8"/>
      <c r="DF38" s="8"/>
      <c r="DG38" s="8"/>
      <c r="DH38" s="8"/>
      <c r="DI38" s="8"/>
      <c r="DL38" s="8"/>
      <c r="DM38" s="8"/>
      <c r="DN38" s="8"/>
      <c r="DO38" s="8"/>
      <c r="DP38" s="8"/>
    </row>
    <row r="39" spans="2:120" x14ac:dyDescent="0.35">
      <c r="B39" s="27"/>
      <c r="C39" s="27"/>
      <c r="D39" s="16"/>
      <c r="E39" s="16"/>
      <c r="F39" s="24"/>
      <c r="G39" s="8"/>
      <c r="H39" s="8"/>
      <c r="I39" s="8"/>
      <c r="J39" s="8"/>
      <c r="K39" s="8"/>
      <c r="L39" s="8"/>
      <c r="M39" s="8"/>
      <c r="N39" s="8"/>
      <c r="O39" s="8"/>
      <c r="P39" s="8"/>
      <c r="R39" s="8"/>
      <c r="S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V39" s="8"/>
      <c r="CW39" s="8"/>
      <c r="CX39" s="8"/>
      <c r="CY39" s="8"/>
      <c r="CZ39" s="8"/>
      <c r="DA39" s="8"/>
      <c r="DB39" s="8"/>
      <c r="DC39" s="8"/>
      <c r="DD39" s="8"/>
      <c r="DE39" s="8"/>
      <c r="DF39" s="8"/>
      <c r="DG39" s="8"/>
      <c r="DH39" s="8"/>
      <c r="DI39" s="8"/>
      <c r="DL39" s="8"/>
      <c r="DM39" s="8"/>
      <c r="DN39" s="8"/>
      <c r="DO39" s="8"/>
      <c r="DP39" s="8"/>
    </row>
    <row r="40" spans="2:120" x14ac:dyDescent="0.35">
      <c r="B40" s="16"/>
      <c r="C40" s="16"/>
      <c r="D40" s="16"/>
      <c r="E40" s="16"/>
      <c r="F40" s="24"/>
      <c r="G40" s="8"/>
      <c r="H40" s="8"/>
      <c r="I40" s="8"/>
      <c r="J40" s="8"/>
      <c r="K40" s="8"/>
      <c r="L40" s="8"/>
      <c r="M40" s="8"/>
      <c r="N40" s="8"/>
      <c r="O40" s="8"/>
      <c r="P40" s="8"/>
      <c r="R40" s="8"/>
      <c r="S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V40" s="8"/>
      <c r="CW40" s="8"/>
      <c r="CX40" s="8"/>
      <c r="CY40" s="8"/>
      <c r="CZ40" s="8"/>
      <c r="DA40" s="8"/>
      <c r="DB40" s="8"/>
      <c r="DC40" s="8"/>
      <c r="DD40" s="8"/>
      <c r="DE40" s="8"/>
      <c r="DF40" s="8"/>
      <c r="DG40" s="8"/>
      <c r="DH40" s="8"/>
      <c r="DI40" s="8"/>
      <c r="DL40" s="8"/>
      <c r="DM40" s="8"/>
      <c r="DN40" s="8"/>
      <c r="DO40" s="8"/>
      <c r="DP40" s="8"/>
    </row>
    <row r="41" spans="2:120" x14ac:dyDescent="0.35">
      <c r="B41" s="16"/>
      <c r="C41" s="16"/>
      <c r="D41" s="16"/>
      <c r="E41" s="16"/>
      <c r="F41" s="24"/>
      <c r="G41" s="8"/>
      <c r="H41" s="8"/>
      <c r="I41" s="8"/>
      <c r="J41" s="8"/>
      <c r="K41" s="8"/>
      <c r="L41" s="8"/>
      <c r="M41" s="8"/>
      <c r="N41" s="8"/>
      <c r="O41" s="8"/>
      <c r="P41" s="8"/>
      <c r="R41" s="8"/>
      <c r="S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V41" s="8"/>
      <c r="CW41" s="8"/>
      <c r="CX41" s="8"/>
      <c r="CY41" s="8"/>
      <c r="CZ41" s="8"/>
      <c r="DA41" s="8"/>
      <c r="DB41" s="8"/>
      <c r="DC41" s="8"/>
      <c r="DD41" s="8"/>
      <c r="DE41" s="8"/>
      <c r="DF41" s="8"/>
      <c r="DG41" s="8"/>
      <c r="DH41" s="8"/>
      <c r="DI41" s="8"/>
      <c r="DL41" s="8"/>
      <c r="DM41" s="8"/>
      <c r="DN41" s="8"/>
      <c r="DO41" s="8"/>
      <c r="DP41" s="8"/>
    </row>
    <row r="42" spans="2:120" x14ac:dyDescent="0.35">
      <c r="B42" s="16"/>
      <c r="C42" s="16"/>
      <c r="D42" s="16"/>
      <c r="E42" s="16"/>
      <c r="F42" s="24"/>
      <c r="G42" s="8"/>
      <c r="H42" s="8"/>
      <c r="I42" s="8"/>
      <c r="J42" s="8"/>
      <c r="K42" s="8"/>
      <c r="L42" s="8"/>
      <c r="M42" s="8"/>
      <c r="N42" s="8"/>
      <c r="O42" s="8"/>
      <c r="P42" s="8"/>
      <c r="R42" s="8"/>
      <c r="S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V42" s="8"/>
      <c r="CW42" s="8"/>
      <c r="CX42" s="8"/>
      <c r="CY42" s="8"/>
      <c r="CZ42" s="8"/>
      <c r="DA42" s="8"/>
      <c r="DB42" s="8"/>
      <c r="DC42" s="8"/>
      <c r="DD42" s="8"/>
      <c r="DE42" s="8"/>
      <c r="DF42" s="8"/>
      <c r="DG42" s="8"/>
      <c r="DH42" s="8"/>
      <c r="DI42" s="8"/>
      <c r="DL42" s="8"/>
      <c r="DM42" s="8"/>
      <c r="DN42" s="8"/>
      <c r="DO42" s="8"/>
      <c r="DP42" s="8"/>
    </row>
    <row r="43" spans="2:120" x14ac:dyDescent="0.35">
      <c r="B43" s="16"/>
      <c r="C43" s="16"/>
      <c r="D43" s="16"/>
      <c r="E43" s="16"/>
      <c r="F43" s="24"/>
      <c r="G43" s="8"/>
      <c r="H43" s="8"/>
      <c r="I43" s="8"/>
      <c r="J43" s="8"/>
      <c r="K43" s="8"/>
      <c r="L43" s="8"/>
      <c r="M43" s="8"/>
      <c r="N43" s="8"/>
      <c r="O43" s="8"/>
      <c r="P43" s="8"/>
      <c r="R43" s="8"/>
      <c r="S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V43" s="8"/>
      <c r="CW43" s="8"/>
      <c r="CX43" s="8"/>
      <c r="CY43" s="8"/>
      <c r="CZ43" s="8"/>
      <c r="DA43" s="8"/>
      <c r="DB43" s="8"/>
      <c r="DC43" s="8"/>
      <c r="DD43" s="8"/>
      <c r="DE43" s="8"/>
      <c r="DF43" s="8"/>
      <c r="DG43" s="8"/>
      <c r="DH43" s="8"/>
      <c r="DI43" s="8"/>
      <c r="DL43" s="8"/>
      <c r="DM43" s="8"/>
      <c r="DN43" s="8"/>
      <c r="DO43" s="8"/>
      <c r="DP43" s="8"/>
    </row>
    <row r="44" spans="2:120" x14ac:dyDescent="0.35">
      <c r="B44" s="16"/>
      <c r="C44" s="16"/>
      <c r="D44" s="16"/>
      <c r="E44" s="16"/>
      <c r="F44" s="24"/>
      <c r="G44" s="8"/>
      <c r="H44" s="8"/>
      <c r="I44" s="8"/>
      <c r="J44" s="8"/>
      <c r="K44" s="8"/>
      <c r="L44" s="8"/>
      <c r="M44" s="8"/>
      <c r="N44" s="8"/>
      <c r="O44" s="8"/>
      <c r="P44" s="8"/>
      <c r="R44" s="8"/>
      <c r="S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V44" s="8"/>
      <c r="CW44" s="8"/>
      <c r="CX44" s="8"/>
      <c r="CY44" s="8"/>
      <c r="CZ44" s="8"/>
      <c r="DA44" s="8"/>
      <c r="DB44" s="8"/>
      <c r="DC44" s="8"/>
      <c r="DD44" s="8"/>
      <c r="DE44" s="8"/>
      <c r="DF44" s="8"/>
      <c r="DG44" s="8"/>
      <c r="DH44" s="8"/>
      <c r="DI44" s="8"/>
      <c r="DL44" s="8"/>
      <c r="DM44" s="8"/>
      <c r="DN44" s="8"/>
      <c r="DO44" s="8"/>
      <c r="DP44" s="8"/>
    </row>
    <row r="45" spans="2:120" x14ac:dyDescent="0.35">
      <c r="B45" s="16"/>
      <c r="C45" s="16"/>
      <c r="D45" s="16"/>
      <c r="E45" s="16"/>
      <c r="F45" s="24"/>
      <c r="G45" s="8"/>
      <c r="H45" s="8"/>
      <c r="I45" s="8"/>
      <c r="J45" s="8"/>
      <c r="K45" s="8"/>
      <c r="L45" s="8"/>
      <c r="M45" s="8"/>
      <c r="N45" s="8"/>
      <c r="O45" s="8"/>
      <c r="P45" s="8"/>
      <c r="R45" s="8"/>
      <c r="S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V45" s="8"/>
      <c r="CW45" s="8"/>
      <c r="CX45" s="8"/>
      <c r="CY45" s="8"/>
      <c r="CZ45" s="8"/>
      <c r="DA45" s="8"/>
      <c r="DB45" s="8"/>
      <c r="DC45" s="8"/>
      <c r="DD45" s="8"/>
      <c r="DE45" s="8"/>
      <c r="DF45" s="8"/>
      <c r="DG45" s="8"/>
      <c r="DH45" s="8"/>
      <c r="DI45" s="8"/>
      <c r="DL45" s="8"/>
      <c r="DM45" s="8"/>
      <c r="DN45" s="8"/>
      <c r="DO45" s="8"/>
      <c r="DP45" s="8"/>
    </row>
  </sheetData>
  <sheetProtection algorithmName="SHA-512" hashValue="NuwjjoR94/e/9mjx7WZ1R5jv2fzEyf4KLz+ELUWWrV+OCeeoHsnccZNSHKjU2FvS7HLIaOyYDlT1wG/aKd3mBw==" saltValue="MyKeC0wTgS9FvHnsM2jn8A==" spinCount="100000" sheet="1" formatCells="0" formatColumns="0" formatRows="0" sort="0" autoFilter="0" pivotTables="0"/>
  <mergeCells count="11">
    <mergeCell ref="C24:G24"/>
    <mergeCell ref="B1:G1"/>
    <mergeCell ref="I3:AC3"/>
    <mergeCell ref="AD3:DP3"/>
    <mergeCell ref="B4:B5"/>
    <mergeCell ref="C4:C5"/>
    <mergeCell ref="D4:D5"/>
    <mergeCell ref="E4:E5"/>
    <mergeCell ref="F4:F5"/>
    <mergeCell ref="G4:G5"/>
    <mergeCell ref="C19:G19"/>
  </mergeCells>
  <hyperlinks>
    <hyperlink ref="C17" r:id="rId1" xr:uid="{11811D22-71FD-42D2-92C5-12387785FBFF}"/>
    <hyperlink ref="C21" r:id="rId2" xr:uid="{4BCEE31D-DC9A-494D-A7BA-33BB940E78A3}"/>
    <hyperlink ref="C23" r:id="rId3" xr:uid="{FC5D3A45-27AF-4CBA-AE60-1538484B10DB}"/>
    <hyperlink ref="C27" r:id="rId4" xr:uid="{8C9F3CFC-AEDF-4913-A5C4-B4771E0A69F5}"/>
    <hyperlink ref="C19" r:id="rId5" xr:uid="{3923D5B7-4794-4D7F-B7BF-8488FB06FA5F}"/>
    <hyperlink ref="C25" r:id="rId6" xr:uid="{BD5B1C5B-922D-49DF-8F6F-F210512593A0}"/>
  </hyperlinks>
  <pageMargins left="0.7" right="0.7" top="0.75" bottom="0.75" header="0.3" footer="0.3"/>
  <pageSetup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D103"/>
  <sheetViews>
    <sheetView showGridLines="0" zoomScaleNormal="100" workbookViewId="0">
      <pane xSplit="7" topLeftCell="H1" activePane="topRight" state="frozen"/>
      <selection pane="topRight" activeCell="B1" sqref="B1:G1"/>
    </sheetView>
  </sheetViews>
  <sheetFormatPr defaultRowHeight="14.5" x14ac:dyDescent="0.35"/>
  <cols>
    <col min="1" max="1" width="1.7265625" customWidth="1"/>
    <col min="2" max="2" width="3.7265625" customWidth="1"/>
    <col min="3" max="3" width="20" customWidth="1"/>
    <col min="4" max="4" width="12.7265625" customWidth="1"/>
    <col min="5" max="5" width="94" customWidth="1"/>
    <col min="6" max="6" width="21.54296875" style="32" customWidth="1"/>
    <col min="7" max="7" width="17.81640625" customWidth="1"/>
    <col min="8" max="8" width="23.7265625" bestFit="1" customWidth="1"/>
    <col min="9" max="9" width="11.1796875" bestFit="1" customWidth="1"/>
    <col min="10" max="10" width="10.7265625" bestFit="1" customWidth="1"/>
    <col min="11" max="11" width="8.7265625" customWidth="1"/>
    <col min="12" max="12" width="8.54296875" bestFit="1" customWidth="1"/>
    <col min="13" max="13" width="10.81640625" bestFit="1" customWidth="1"/>
    <col min="14" max="14" width="10.7265625" bestFit="1" customWidth="1"/>
    <col min="15" max="15" width="14.1796875" bestFit="1" customWidth="1"/>
    <col min="16" max="16" width="18.1796875" bestFit="1" customWidth="1"/>
    <col min="17" max="17" width="8" customWidth="1"/>
    <col min="18" max="19" width="8.54296875" bestFit="1" customWidth="1"/>
    <col min="20" max="20" width="12.7265625" style="8" bestFit="1" customWidth="1"/>
    <col min="21" max="21" width="9.81640625" customWidth="1"/>
    <col min="22" max="22" width="14.26953125" hidden="1" customWidth="1"/>
    <col min="23" max="23" width="8.54296875" bestFit="1" customWidth="1"/>
    <col min="24" max="24" width="12.54296875" bestFit="1" customWidth="1"/>
    <col min="25" max="25" width="10" bestFit="1" customWidth="1"/>
    <col min="26" max="26" width="18.26953125" bestFit="1" customWidth="1"/>
    <col min="27" max="27" width="17.453125" hidden="1" customWidth="1"/>
    <col min="28" max="28" width="10.81640625" hidden="1" customWidth="1"/>
    <col min="29" max="29" width="8.54296875" bestFit="1" customWidth="1"/>
    <col min="30" max="30" width="15.453125" customWidth="1"/>
    <col min="31" max="31" width="17.26953125" customWidth="1"/>
    <col min="32" max="32" width="14.54296875" customWidth="1"/>
    <col min="33" max="33" width="12.54296875" hidden="1" customWidth="1"/>
    <col min="34" max="34" width="9.1796875" customWidth="1"/>
    <col min="35" max="35" width="13.26953125" hidden="1" customWidth="1"/>
    <col min="36" max="36" width="10.453125" hidden="1" customWidth="1"/>
    <col min="37" max="37" width="12.453125" customWidth="1"/>
    <col min="38" max="38" width="19.54296875" customWidth="1"/>
    <col min="39" max="39" width="9.1796875" customWidth="1"/>
    <col min="40" max="40" width="16.453125" customWidth="1"/>
    <col min="41" max="41" width="22.81640625" customWidth="1"/>
    <col min="42" max="42" width="16.453125" customWidth="1"/>
    <col min="43" max="43" width="21.453125" customWidth="1"/>
    <col min="44" max="44" width="22.7265625" customWidth="1"/>
    <col min="45" max="45" width="14.7265625" hidden="1" customWidth="1"/>
    <col min="46" max="46" width="17.26953125" bestFit="1" customWidth="1"/>
    <col min="47" max="47" width="22.1796875" hidden="1" customWidth="1"/>
    <col min="48" max="48" width="9.1796875" bestFit="1" customWidth="1"/>
    <col min="49" max="49" width="15.7265625" hidden="1" customWidth="1"/>
    <col min="50" max="50" width="12.1796875" hidden="1" customWidth="1"/>
    <col min="51" max="52" width="9.81640625" customWidth="1"/>
    <col min="53" max="53" width="23.54296875" customWidth="1"/>
    <col min="54" max="54" width="20" hidden="1" customWidth="1"/>
    <col min="55" max="56" width="21.54296875" hidden="1" customWidth="1"/>
    <col min="57" max="57" width="21.54296875" style="8" hidden="1" customWidth="1"/>
    <col min="58" max="58" width="12.453125" hidden="1" customWidth="1"/>
    <col min="59" max="60" width="14.81640625" customWidth="1"/>
    <col min="61" max="62" width="20.7265625" hidden="1" customWidth="1"/>
    <col min="63" max="63" width="14.26953125" customWidth="1"/>
    <col min="64" max="64" width="9.54296875" customWidth="1"/>
    <col min="65" max="65" width="15.1796875" customWidth="1"/>
    <col min="66" max="66" width="42.81640625" bestFit="1" customWidth="1"/>
    <col min="67" max="67" width="39.26953125" bestFit="1" customWidth="1"/>
    <col min="68" max="68" width="39.26953125" customWidth="1"/>
    <col min="69" max="69" width="40.453125" bestFit="1" customWidth="1"/>
    <col min="70" max="71" width="40.453125" customWidth="1"/>
    <col min="72" max="75" width="36.26953125" bestFit="1" customWidth="1"/>
    <col min="76" max="76" width="10.1796875" customWidth="1"/>
    <col min="77" max="77" width="18.7265625" hidden="1" customWidth="1"/>
    <col min="78" max="79" width="19.1796875" hidden="1" customWidth="1"/>
    <col min="80" max="80" width="24.7265625" customWidth="1"/>
    <col min="81" max="81" width="10.54296875" hidden="1" customWidth="1"/>
    <col min="82" max="82" width="17" bestFit="1" customWidth="1"/>
    <col min="83" max="83" width="17" customWidth="1"/>
    <col min="84" max="84" width="20" customWidth="1"/>
    <col min="85" max="85" width="21.54296875" customWidth="1"/>
    <col min="86" max="86" width="24.453125" hidden="1" customWidth="1"/>
    <col min="87" max="87" width="20.54296875" customWidth="1"/>
    <col min="88" max="88" width="22.7265625" customWidth="1"/>
    <col min="89" max="89" width="13.81640625" customWidth="1"/>
    <col min="90" max="90" width="43.26953125" bestFit="1" customWidth="1"/>
    <col min="91" max="91" width="43.26953125" customWidth="1"/>
    <col min="92" max="92" width="25.81640625" hidden="1" customWidth="1"/>
    <col min="93" max="93" width="39.1796875" bestFit="1" customWidth="1"/>
    <col min="94" max="95" width="35.54296875" bestFit="1" customWidth="1"/>
    <col min="96" max="96" width="19.453125" customWidth="1"/>
    <col min="97" max="97" width="9.54296875" customWidth="1"/>
    <col min="98" max="99" width="15.1796875" customWidth="1"/>
    <col min="100" max="100" width="18.1796875" bestFit="1" customWidth="1"/>
    <col min="101" max="101" width="11" hidden="1" customWidth="1"/>
    <col min="102" max="102" width="17.453125" hidden="1" customWidth="1"/>
    <col min="103" max="103" width="12" bestFit="1" customWidth="1"/>
    <col min="104" max="104" width="9.453125" bestFit="1" customWidth="1"/>
    <col min="105" max="105" width="8.54296875" customWidth="1"/>
    <col min="106" max="106" width="36.7265625" bestFit="1" customWidth="1"/>
    <col min="107" max="107" width="33.1796875" bestFit="1" customWidth="1"/>
    <col min="108" max="108" width="26.81640625" hidden="1" customWidth="1"/>
    <col min="109" max="109" width="8.81640625" customWidth="1"/>
    <col min="110" max="110" width="18.7265625" hidden="1" customWidth="1"/>
    <col min="111" max="111" width="22.453125" hidden="1" customWidth="1"/>
    <col min="112" max="112" width="24.26953125" hidden="1" customWidth="1"/>
    <col min="113" max="113" width="24.26953125" customWidth="1"/>
    <col min="114" max="114" width="46.7265625" style="8" bestFit="1" customWidth="1"/>
    <col min="115" max="115" width="46" style="8" bestFit="1" customWidth="1"/>
    <col min="116" max="116" width="14.7265625" hidden="1" customWidth="1"/>
    <col min="117" max="117" width="20.26953125" hidden="1" customWidth="1"/>
    <col min="118" max="118" width="8.453125" customWidth="1"/>
    <col min="119" max="119" width="10.1796875" customWidth="1"/>
    <col min="120" max="120" width="9.54296875" customWidth="1"/>
  </cols>
  <sheetData>
    <row r="1" spans="2:120" ht="31" x14ac:dyDescent="0.7">
      <c r="B1" s="552" t="s">
        <v>446</v>
      </c>
      <c r="C1" s="552"/>
      <c r="D1" s="552"/>
      <c r="E1" s="552"/>
      <c r="F1" s="552"/>
      <c r="G1" s="552"/>
      <c r="H1" s="518"/>
      <c r="I1" s="32"/>
      <c r="J1" s="32"/>
      <c r="K1" s="32"/>
      <c r="L1" s="32"/>
      <c r="M1" s="32"/>
      <c r="N1" s="32"/>
      <c r="O1" s="32"/>
      <c r="P1" s="32"/>
      <c r="Q1" s="32"/>
      <c r="R1" s="32"/>
      <c r="S1" s="32"/>
      <c r="T1" s="24"/>
      <c r="U1" s="32"/>
      <c r="V1" s="32"/>
      <c r="W1" s="32"/>
      <c r="X1" s="32"/>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196"/>
      <c r="BF1" s="25"/>
      <c r="BG1" s="25"/>
      <c r="BH1" s="25"/>
      <c r="BI1" s="25"/>
      <c r="BJ1" s="25"/>
      <c r="BK1" s="25"/>
      <c r="BL1" s="25"/>
      <c r="BM1" s="32"/>
      <c r="BN1" s="32"/>
      <c r="BO1" s="32"/>
      <c r="BP1" s="32"/>
      <c r="BQ1" s="32"/>
      <c r="BR1" s="32"/>
      <c r="BS1" s="32"/>
      <c r="BT1" s="32"/>
      <c r="BU1" s="32"/>
      <c r="BV1" s="32"/>
      <c r="BW1" s="32"/>
      <c r="BX1" s="32"/>
      <c r="BY1" s="25"/>
      <c r="BZ1" s="25"/>
      <c r="CA1" s="25"/>
      <c r="CB1" s="25"/>
      <c r="CC1" s="25"/>
      <c r="CD1" s="25"/>
      <c r="CE1" s="25"/>
      <c r="CF1" s="25"/>
      <c r="CG1" s="25"/>
      <c r="CH1" s="25"/>
      <c r="CI1" s="25"/>
      <c r="CJ1" s="25"/>
      <c r="CK1" s="25"/>
      <c r="CL1" s="25"/>
      <c r="CM1" s="25"/>
      <c r="CN1" s="25"/>
      <c r="CO1" s="25"/>
      <c r="CP1" s="25"/>
      <c r="CQ1" s="25"/>
      <c r="CR1" s="25"/>
      <c r="CS1" s="32"/>
      <c r="CT1" s="25"/>
      <c r="CU1" s="25"/>
      <c r="CV1" s="25"/>
      <c r="CW1" s="25"/>
      <c r="CX1" s="25"/>
      <c r="CY1" s="25"/>
      <c r="CZ1" s="25"/>
      <c r="DA1" s="25"/>
      <c r="DB1" s="25"/>
      <c r="DC1" s="25"/>
      <c r="DD1" s="32"/>
      <c r="DE1" s="25"/>
      <c r="DF1" s="25"/>
      <c r="DG1" s="25"/>
      <c r="DH1" s="25"/>
      <c r="DI1" s="25"/>
      <c r="DJ1" s="196"/>
      <c r="DK1" s="196"/>
      <c r="DL1" s="25"/>
      <c r="DM1" s="25"/>
      <c r="DN1" s="25"/>
      <c r="DO1" s="25"/>
    </row>
    <row r="2" spans="2:120" ht="13.5" customHeight="1" thickBot="1" x14ac:dyDescent="0.7">
      <c r="D2" s="32"/>
      <c r="I2" s="32"/>
      <c r="J2" s="32"/>
      <c r="K2" s="79"/>
      <c r="L2" s="79"/>
      <c r="M2" s="79"/>
      <c r="N2" s="79"/>
      <c r="O2" s="79"/>
      <c r="P2" s="79"/>
      <c r="Q2" s="79"/>
      <c r="R2" s="79"/>
      <c r="S2" s="79"/>
      <c r="T2" s="197"/>
      <c r="U2" s="79"/>
      <c r="V2" s="79"/>
      <c r="W2" s="79"/>
      <c r="X2" s="79"/>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2"/>
      <c r="BF2" s="26"/>
      <c r="BG2" s="26"/>
      <c r="BH2" s="26"/>
      <c r="BI2" s="26"/>
      <c r="BJ2" s="26"/>
      <c r="BK2" s="26"/>
      <c r="BL2" s="26"/>
      <c r="BM2" s="32"/>
      <c r="BN2" s="32"/>
      <c r="BO2" s="32"/>
      <c r="BP2" s="32"/>
      <c r="BQ2" s="32"/>
      <c r="BR2" s="32"/>
      <c r="BS2" s="32"/>
      <c r="BT2" s="32"/>
      <c r="BU2" s="32"/>
      <c r="BV2" s="32"/>
      <c r="BW2" s="32"/>
      <c r="BX2" s="32"/>
      <c r="BY2" s="26"/>
      <c r="BZ2" s="26"/>
      <c r="CA2" s="26"/>
      <c r="CB2" s="26"/>
      <c r="CC2" s="26"/>
      <c r="CD2" s="26"/>
      <c r="CE2" s="26"/>
      <c r="CF2" s="26"/>
      <c r="CG2" s="26"/>
      <c r="CH2" s="26"/>
      <c r="CI2" s="26"/>
      <c r="CJ2" s="26"/>
      <c r="CK2" s="26"/>
      <c r="CL2" s="26"/>
      <c r="CM2" s="26"/>
      <c r="CN2" s="26"/>
      <c r="CO2" s="26"/>
      <c r="CP2" s="26"/>
      <c r="CQ2" s="26"/>
      <c r="CR2" s="26"/>
      <c r="CS2" s="32"/>
      <c r="CT2" s="26"/>
      <c r="CU2" s="26"/>
      <c r="CV2" s="26"/>
      <c r="CW2" s="26"/>
      <c r="CX2" s="26"/>
      <c r="CY2" s="26"/>
      <c r="CZ2" s="26"/>
      <c r="DA2" s="26"/>
      <c r="DB2" s="26"/>
      <c r="DC2" s="26"/>
      <c r="DD2" s="32"/>
      <c r="DE2" s="26"/>
      <c r="DF2" s="26"/>
      <c r="DG2" s="26"/>
      <c r="DH2" s="26"/>
      <c r="DI2" s="26"/>
      <c r="DJ2" s="22"/>
      <c r="DK2" s="22"/>
      <c r="DL2" s="26"/>
      <c r="DM2" s="26"/>
      <c r="DN2" s="26"/>
      <c r="DO2" s="26"/>
    </row>
    <row r="3" spans="2:120" ht="21.5" thickBot="1" x14ac:dyDescent="0.55000000000000004">
      <c r="H3" s="524" t="s">
        <v>388</v>
      </c>
      <c r="I3" s="572" t="s">
        <v>88</v>
      </c>
      <c r="J3" s="573"/>
      <c r="K3" s="573"/>
      <c r="L3" s="573"/>
      <c r="M3" s="573"/>
      <c r="N3" s="573"/>
      <c r="O3" s="573"/>
      <c r="P3" s="573"/>
      <c r="Q3" s="573"/>
      <c r="R3" s="573"/>
      <c r="S3" s="573"/>
      <c r="T3" s="573"/>
      <c r="U3" s="573"/>
      <c r="V3" s="573"/>
      <c r="W3" s="573"/>
      <c r="X3" s="573"/>
      <c r="Y3" s="573"/>
      <c r="Z3" s="573"/>
      <c r="AA3" s="573"/>
      <c r="AB3" s="573"/>
      <c r="AC3" s="574"/>
      <c r="AD3" s="553" t="s">
        <v>195</v>
      </c>
      <c r="AE3" s="554"/>
      <c r="AF3" s="554"/>
      <c r="AG3" s="554"/>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554"/>
      <c r="BO3" s="554"/>
      <c r="BP3" s="554"/>
      <c r="BQ3" s="554"/>
      <c r="BR3" s="554"/>
      <c r="BS3" s="554"/>
      <c r="BT3" s="554"/>
      <c r="BU3" s="554"/>
      <c r="BV3" s="554"/>
      <c r="BW3" s="554"/>
      <c r="BX3" s="554"/>
      <c r="BY3" s="554"/>
      <c r="BZ3" s="554"/>
      <c r="CA3" s="554"/>
      <c r="CB3" s="554"/>
      <c r="CC3" s="554"/>
      <c r="CD3" s="554"/>
      <c r="CE3" s="554"/>
      <c r="CF3" s="554"/>
      <c r="CG3" s="554"/>
      <c r="CH3" s="554"/>
      <c r="CI3" s="554"/>
      <c r="CJ3" s="554"/>
      <c r="CK3" s="554"/>
      <c r="CL3" s="554"/>
      <c r="CM3" s="554"/>
      <c r="CN3" s="554"/>
      <c r="CO3" s="554"/>
      <c r="CP3" s="554"/>
      <c r="CQ3" s="554"/>
      <c r="CR3" s="554"/>
      <c r="CS3" s="554"/>
      <c r="CT3" s="554"/>
      <c r="CU3" s="554"/>
      <c r="CV3" s="554"/>
      <c r="CW3" s="554"/>
      <c r="CX3" s="554"/>
      <c r="CY3" s="554"/>
      <c r="CZ3" s="554"/>
      <c r="DA3" s="554"/>
      <c r="DB3" s="554"/>
      <c r="DC3" s="554"/>
      <c r="DD3" s="554"/>
      <c r="DE3" s="554"/>
      <c r="DF3" s="554"/>
      <c r="DG3" s="554"/>
      <c r="DH3" s="554"/>
      <c r="DI3" s="554"/>
      <c r="DJ3" s="554"/>
      <c r="DK3" s="554"/>
      <c r="DL3" s="554"/>
      <c r="DM3" s="554"/>
      <c r="DN3" s="554"/>
      <c r="DO3" s="554"/>
      <c r="DP3" s="555"/>
    </row>
    <row r="4" spans="2:120" ht="15.75" customHeight="1" x14ac:dyDescent="0.35">
      <c r="B4" s="568"/>
      <c r="C4" s="556" t="s">
        <v>0</v>
      </c>
      <c r="D4" s="558" t="s">
        <v>326</v>
      </c>
      <c r="E4" s="560" t="s">
        <v>1</v>
      </c>
      <c r="F4" s="562" t="s">
        <v>2</v>
      </c>
      <c r="G4" s="578" t="s">
        <v>142</v>
      </c>
      <c r="H4" s="525" t="s">
        <v>389</v>
      </c>
      <c r="I4" s="187" t="s">
        <v>125</v>
      </c>
      <c r="J4" s="240" t="s">
        <v>254</v>
      </c>
      <c r="K4" s="1" t="s">
        <v>3</v>
      </c>
      <c r="L4" s="67" t="s">
        <v>4</v>
      </c>
      <c r="M4" s="1" t="s">
        <v>5</v>
      </c>
      <c r="N4" s="1" t="s">
        <v>6</v>
      </c>
      <c r="O4" s="1" t="s">
        <v>150</v>
      </c>
      <c r="P4" s="67" t="s">
        <v>151</v>
      </c>
      <c r="Q4" s="322" t="s">
        <v>7</v>
      </c>
      <c r="R4" s="1" t="s">
        <v>8</v>
      </c>
      <c r="S4" s="1" t="s">
        <v>9</v>
      </c>
      <c r="T4" s="1" t="s">
        <v>10</v>
      </c>
      <c r="U4" s="1" t="s">
        <v>11</v>
      </c>
      <c r="V4" s="67" t="s">
        <v>12</v>
      </c>
      <c r="W4" s="1" t="s">
        <v>13</v>
      </c>
      <c r="X4" s="67" t="s">
        <v>127</v>
      </c>
      <c r="Y4" s="1" t="s">
        <v>14</v>
      </c>
      <c r="Z4" s="1" t="s">
        <v>432</v>
      </c>
      <c r="AA4" s="1" t="s">
        <v>348</v>
      </c>
      <c r="AB4" s="1" t="s">
        <v>15</v>
      </c>
      <c r="AC4" s="72" t="s">
        <v>16</v>
      </c>
      <c r="AD4" s="142" t="s">
        <v>17</v>
      </c>
      <c r="AE4" s="67" t="s">
        <v>18</v>
      </c>
      <c r="AF4" s="1" t="s">
        <v>19</v>
      </c>
      <c r="AG4" s="67" t="s">
        <v>120</v>
      </c>
      <c r="AH4" s="1" t="s">
        <v>20</v>
      </c>
      <c r="AI4" s="1" t="s">
        <v>121</v>
      </c>
      <c r="AJ4" s="1" t="s">
        <v>21</v>
      </c>
      <c r="AK4" s="67" t="s">
        <v>22</v>
      </c>
      <c r="AL4" s="1" t="s">
        <v>23</v>
      </c>
      <c r="AM4" s="1" t="s">
        <v>24</v>
      </c>
      <c r="AN4" s="1" t="s">
        <v>25</v>
      </c>
      <c r="AO4" s="1" t="s">
        <v>26</v>
      </c>
      <c r="AP4" s="67" t="s">
        <v>27</v>
      </c>
      <c r="AQ4" s="67" t="s">
        <v>199</v>
      </c>
      <c r="AR4" s="1" t="s">
        <v>28</v>
      </c>
      <c r="AS4" s="1" t="s">
        <v>152</v>
      </c>
      <c r="AT4" s="1" t="s">
        <v>314</v>
      </c>
      <c r="AU4" s="1" t="s">
        <v>29</v>
      </c>
      <c r="AV4" s="1" t="s">
        <v>109</v>
      </c>
      <c r="AW4" s="1" t="s">
        <v>94</v>
      </c>
      <c r="AX4" s="1" t="s">
        <v>30</v>
      </c>
      <c r="AY4" s="1" t="s">
        <v>31</v>
      </c>
      <c r="AZ4" s="67" t="s">
        <v>318</v>
      </c>
      <c r="BA4" s="1" t="s">
        <v>93</v>
      </c>
      <c r="BB4" s="1" t="s">
        <v>178</v>
      </c>
      <c r="BC4" s="67" t="s">
        <v>153</v>
      </c>
      <c r="BD4" s="67" t="s">
        <v>154</v>
      </c>
      <c r="BE4" s="1" t="s">
        <v>220</v>
      </c>
      <c r="BF4" s="1" t="s">
        <v>179</v>
      </c>
      <c r="BG4" s="1" t="s">
        <v>155</v>
      </c>
      <c r="BH4" s="1" t="s">
        <v>316</v>
      </c>
      <c r="BI4" s="1" t="s">
        <v>32</v>
      </c>
      <c r="BJ4" s="1" t="s">
        <v>222</v>
      </c>
      <c r="BK4" s="67" t="s">
        <v>33</v>
      </c>
      <c r="BL4" s="67" t="s">
        <v>34</v>
      </c>
      <c r="BM4" s="1" t="s">
        <v>35</v>
      </c>
      <c r="BN4" s="1" t="s">
        <v>241</v>
      </c>
      <c r="BO4" s="1" t="s">
        <v>243</v>
      </c>
      <c r="BP4" s="1" t="s">
        <v>244</v>
      </c>
      <c r="BQ4" s="1" t="s">
        <v>238</v>
      </c>
      <c r="BR4" s="1" t="s">
        <v>239</v>
      </c>
      <c r="BS4" s="1" t="s">
        <v>240</v>
      </c>
      <c r="BT4" s="1" t="s">
        <v>245</v>
      </c>
      <c r="BU4" s="1" t="s">
        <v>246</v>
      </c>
      <c r="BV4" s="1" t="s">
        <v>247</v>
      </c>
      <c r="BW4" s="1" t="s">
        <v>248</v>
      </c>
      <c r="BX4" s="1" t="s">
        <v>40</v>
      </c>
      <c r="BY4" s="1" t="s">
        <v>90</v>
      </c>
      <c r="BZ4" s="1" t="s">
        <v>224</v>
      </c>
      <c r="CA4" s="322" t="s">
        <v>376</v>
      </c>
      <c r="CB4" s="1" t="s">
        <v>36</v>
      </c>
      <c r="CC4" s="1" t="s">
        <v>37</v>
      </c>
      <c r="CD4" s="1" t="s">
        <v>315</v>
      </c>
      <c r="CE4" s="67" t="s">
        <v>317</v>
      </c>
      <c r="CF4" s="1" t="s">
        <v>92</v>
      </c>
      <c r="CG4" s="1" t="s">
        <v>156</v>
      </c>
      <c r="CH4" s="1" t="s">
        <v>157</v>
      </c>
      <c r="CI4" s="1" t="s">
        <v>38</v>
      </c>
      <c r="CJ4" s="67" t="s">
        <v>158</v>
      </c>
      <c r="CK4" s="1" t="s">
        <v>39</v>
      </c>
      <c r="CL4" s="1" t="s">
        <v>242</v>
      </c>
      <c r="CM4" s="1" t="s">
        <v>249</v>
      </c>
      <c r="CN4" s="1" t="s">
        <v>198</v>
      </c>
      <c r="CO4" s="1" t="s">
        <v>237</v>
      </c>
      <c r="CP4" s="1" t="s">
        <v>250</v>
      </c>
      <c r="CQ4" s="1" t="s">
        <v>251</v>
      </c>
      <c r="CR4" s="1" t="s">
        <v>91</v>
      </c>
      <c r="CS4" s="67" t="s">
        <v>41</v>
      </c>
      <c r="CT4" s="67" t="s">
        <v>42</v>
      </c>
      <c r="CU4" s="322" t="s">
        <v>329</v>
      </c>
      <c r="CV4" s="67" t="s">
        <v>253</v>
      </c>
      <c r="CW4" s="1" t="s">
        <v>82</v>
      </c>
      <c r="CX4" s="1" t="s">
        <v>83</v>
      </c>
      <c r="CY4" s="67" t="s">
        <v>43</v>
      </c>
      <c r="CZ4" s="67" t="s">
        <v>235</v>
      </c>
      <c r="DA4" s="1" t="s">
        <v>44</v>
      </c>
      <c r="DB4" s="1" t="s">
        <v>236</v>
      </c>
      <c r="DC4" s="1" t="s">
        <v>252</v>
      </c>
      <c r="DD4" s="1" t="s">
        <v>160</v>
      </c>
      <c r="DE4" s="1" t="s">
        <v>45</v>
      </c>
      <c r="DF4" s="1" t="s">
        <v>122</v>
      </c>
      <c r="DG4" s="1" t="s">
        <v>161</v>
      </c>
      <c r="DH4" s="67" t="s">
        <v>162</v>
      </c>
      <c r="DI4" s="67" t="s">
        <v>223</v>
      </c>
      <c r="DJ4" s="1" t="s">
        <v>303</v>
      </c>
      <c r="DK4" s="1" t="s">
        <v>304</v>
      </c>
      <c r="DL4" s="1" t="s">
        <v>46</v>
      </c>
      <c r="DM4" s="1" t="s">
        <v>211</v>
      </c>
      <c r="DN4" s="1" t="s">
        <v>163</v>
      </c>
      <c r="DO4" s="1" t="s">
        <v>164</v>
      </c>
      <c r="DP4" s="2" t="s">
        <v>165</v>
      </c>
    </row>
    <row r="5" spans="2:120" ht="15.75" customHeight="1" thickBot="1" x14ac:dyDescent="0.4">
      <c r="B5" s="569"/>
      <c r="C5" s="557"/>
      <c r="D5" s="559"/>
      <c r="E5" s="561"/>
      <c r="F5" s="563"/>
      <c r="G5" s="579"/>
      <c r="H5" s="526">
        <v>7446095</v>
      </c>
      <c r="I5" s="143">
        <v>7429905</v>
      </c>
      <c r="J5" s="78">
        <v>7440360</v>
      </c>
      <c r="K5" s="5">
        <v>7440382</v>
      </c>
      <c r="L5" s="78">
        <v>7440393</v>
      </c>
      <c r="M5" s="5">
        <v>7440417</v>
      </c>
      <c r="N5" s="5">
        <v>7440439</v>
      </c>
      <c r="O5" s="5">
        <v>18540299</v>
      </c>
      <c r="P5" s="78">
        <v>7440473</v>
      </c>
      <c r="Q5" s="323">
        <v>7440484</v>
      </c>
      <c r="R5" s="5">
        <v>7440508</v>
      </c>
      <c r="S5" s="5">
        <v>7439921</v>
      </c>
      <c r="T5" s="5">
        <v>7439965</v>
      </c>
      <c r="U5" s="5">
        <v>7439976</v>
      </c>
      <c r="V5" s="78">
        <v>7439987</v>
      </c>
      <c r="W5" s="5">
        <v>7440020</v>
      </c>
      <c r="X5" s="78">
        <v>7723140</v>
      </c>
      <c r="Y5" s="5">
        <v>7782492</v>
      </c>
      <c r="Z5" s="5">
        <v>1175</v>
      </c>
      <c r="AA5" s="5">
        <v>9960</v>
      </c>
      <c r="AB5" s="5">
        <v>7440622</v>
      </c>
      <c r="AC5" s="91">
        <v>7440666</v>
      </c>
      <c r="AD5" s="143">
        <v>83329</v>
      </c>
      <c r="AE5" s="78">
        <v>208968</v>
      </c>
      <c r="AF5" s="5">
        <v>75070</v>
      </c>
      <c r="AG5" s="78">
        <v>75058</v>
      </c>
      <c r="AH5" s="5">
        <v>107028</v>
      </c>
      <c r="AI5" s="5">
        <v>107131</v>
      </c>
      <c r="AJ5" s="5">
        <v>7664417</v>
      </c>
      <c r="AK5" s="78">
        <v>120127</v>
      </c>
      <c r="AL5" s="5">
        <v>56553</v>
      </c>
      <c r="AM5" s="5">
        <v>71432</v>
      </c>
      <c r="AN5" s="5">
        <v>50328</v>
      </c>
      <c r="AO5" s="5">
        <v>205992</v>
      </c>
      <c r="AP5" s="78">
        <v>192972</v>
      </c>
      <c r="AQ5" s="78">
        <v>191242</v>
      </c>
      <c r="AR5" s="5">
        <v>207089</v>
      </c>
      <c r="AS5" s="5">
        <v>106990</v>
      </c>
      <c r="AT5" s="5">
        <v>75150</v>
      </c>
      <c r="AU5" s="5">
        <v>56235</v>
      </c>
      <c r="AV5" s="5">
        <v>7782505</v>
      </c>
      <c r="AW5" s="5">
        <v>108907</v>
      </c>
      <c r="AX5" s="5">
        <v>67663</v>
      </c>
      <c r="AY5" s="5">
        <v>218019</v>
      </c>
      <c r="AZ5" s="78">
        <v>98828</v>
      </c>
      <c r="BA5" s="5">
        <v>53703</v>
      </c>
      <c r="BB5" s="5">
        <v>75343</v>
      </c>
      <c r="BC5" s="78">
        <v>78875</v>
      </c>
      <c r="BD5" s="78">
        <v>542756</v>
      </c>
      <c r="BE5" s="5">
        <v>106467</v>
      </c>
      <c r="BF5" s="5">
        <v>123911</v>
      </c>
      <c r="BG5" s="5">
        <v>100414</v>
      </c>
      <c r="BH5" s="5">
        <v>75003</v>
      </c>
      <c r="BI5" s="5">
        <v>106934</v>
      </c>
      <c r="BJ5" s="5">
        <v>107062</v>
      </c>
      <c r="BK5" s="78">
        <v>206440</v>
      </c>
      <c r="BL5" s="78">
        <v>86737</v>
      </c>
      <c r="BM5" s="5">
        <v>50000</v>
      </c>
      <c r="BN5" s="5">
        <v>35822469</v>
      </c>
      <c r="BO5" s="5">
        <v>67562394</v>
      </c>
      <c r="BP5" s="5">
        <v>55673897</v>
      </c>
      <c r="BQ5" s="5">
        <v>39227286</v>
      </c>
      <c r="BR5" s="5">
        <v>57653857</v>
      </c>
      <c r="BS5" s="5">
        <v>19408743</v>
      </c>
      <c r="BT5" s="5">
        <v>70648269</v>
      </c>
      <c r="BU5" s="5">
        <v>57117449</v>
      </c>
      <c r="BV5" s="5">
        <v>72918219</v>
      </c>
      <c r="BW5" s="5">
        <v>60851345</v>
      </c>
      <c r="BX5" s="5">
        <v>110543</v>
      </c>
      <c r="BY5" s="5">
        <v>7647010</v>
      </c>
      <c r="BZ5" s="5">
        <v>7664393</v>
      </c>
      <c r="CA5" s="323">
        <v>7783064</v>
      </c>
      <c r="CB5" s="5">
        <v>193395</v>
      </c>
      <c r="CC5" s="5">
        <v>67561</v>
      </c>
      <c r="CD5" s="5">
        <v>74839</v>
      </c>
      <c r="CE5" s="78">
        <v>74873</v>
      </c>
      <c r="CF5" s="5">
        <v>71556</v>
      </c>
      <c r="CG5" s="5">
        <v>78933</v>
      </c>
      <c r="CH5" s="5">
        <v>1634044</v>
      </c>
      <c r="CI5" s="5">
        <v>75092</v>
      </c>
      <c r="CJ5" s="78">
        <v>91576</v>
      </c>
      <c r="CK5" s="5">
        <v>91203</v>
      </c>
      <c r="CL5" s="5">
        <v>3268879</v>
      </c>
      <c r="CM5" s="5">
        <v>39001020</v>
      </c>
      <c r="CN5" s="5" t="s">
        <v>159</v>
      </c>
      <c r="CO5" s="5">
        <v>40321764</v>
      </c>
      <c r="CP5" s="5">
        <v>57117416</v>
      </c>
      <c r="CQ5" s="5">
        <v>57117314</v>
      </c>
      <c r="CR5" s="5">
        <v>127184</v>
      </c>
      <c r="CS5" s="78">
        <v>198550</v>
      </c>
      <c r="CT5" s="78">
        <v>85018</v>
      </c>
      <c r="CU5" s="323">
        <v>108952</v>
      </c>
      <c r="CV5" s="78">
        <v>123386</v>
      </c>
      <c r="CW5" s="5">
        <v>115071</v>
      </c>
      <c r="CX5" s="5">
        <v>75569</v>
      </c>
      <c r="CY5" s="78">
        <v>129000</v>
      </c>
      <c r="CZ5" s="78">
        <v>106514</v>
      </c>
      <c r="DA5" s="5">
        <v>100425</v>
      </c>
      <c r="DB5" s="5">
        <v>1746016</v>
      </c>
      <c r="DC5" s="5">
        <v>51207319</v>
      </c>
      <c r="DD5" s="5">
        <v>79345</v>
      </c>
      <c r="DE5" s="5">
        <v>108883</v>
      </c>
      <c r="DF5" s="5">
        <v>79016</v>
      </c>
      <c r="DG5" s="5">
        <v>79005</v>
      </c>
      <c r="DH5" s="78">
        <v>95636</v>
      </c>
      <c r="DI5" s="78">
        <v>540841</v>
      </c>
      <c r="DJ5" s="5">
        <v>1085</v>
      </c>
      <c r="DK5" s="5">
        <v>1080</v>
      </c>
      <c r="DL5" s="5">
        <v>75014</v>
      </c>
      <c r="DM5" s="5">
        <v>75354</v>
      </c>
      <c r="DN5" s="5">
        <v>1330207</v>
      </c>
      <c r="DO5" s="5">
        <v>108383</v>
      </c>
      <c r="DP5" s="6">
        <v>95476</v>
      </c>
    </row>
    <row r="6" spans="2:120" ht="15.75" customHeight="1" x14ac:dyDescent="0.35">
      <c r="B6" s="223"/>
      <c r="C6" s="305" t="s">
        <v>197</v>
      </c>
      <c r="D6" s="224"/>
      <c r="E6" s="225"/>
      <c r="F6" s="100"/>
      <c r="G6" s="55"/>
      <c r="H6" s="85"/>
      <c r="I6" s="153"/>
      <c r="J6" s="101"/>
      <c r="K6" s="57"/>
      <c r="L6" s="101"/>
      <c r="M6" s="57"/>
      <c r="N6" s="57"/>
      <c r="O6" s="57"/>
      <c r="P6" s="101"/>
      <c r="Q6" s="168"/>
      <c r="R6" s="57"/>
      <c r="S6" s="57"/>
      <c r="T6" s="57"/>
      <c r="U6" s="57"/>
      <c r="V6" s="101"/>
      <c r="W6" s="57"/>
      <c r="X6" s="101"/>
      <c r="Y6" s="57"/>
      <c r="Z6" s="57"/>
      <c r="AA6" s="57"/>
      <c r="AB6" s="57"/>
      <c r="AC6" s="110"/>
      <c r="AD6" s="153"/>
      <c r="AE6" s="101"/>
      <c r="AF6" s="57"/>
      <c r="AG6" s="101"/>
      <c r="AH6" s="57"/>
      <c r="AI6" s="57"/>
      <c r="AJ6" s="57"/>
      <c r="AK6" s="101"/>
      <c r="AL6" s="57"/>
      <c r="AM6" s="57"/>
      <c r="AN6" s="57"/>
      <c r="AO6" s="57"/>
      <c r="AP6" s="101"/>
      <c r="AQ6" s="101"/>
      <c r="AR6" s="57"/>
      <c r="AS6" s="57"/>
      <c r="AT6" s="57"/>
      <c r="AU6" s="57"/>
      <c r="AV6" s="57"/>
      <c r="AW6" s="57"/>
      <c r="AX6" s="57"/>
      <c r="AY6" s="57"/>
      <c r="AZ6" s="101"/>
      <c r="BA6" s="57"/>
      <c r="BB6" s="57"/>
      <c r="BC6" s="101"/>
      <c r="BD6" s="101"/>
      <c r="BE6" s="57"/>
      <c r="BF6" s="57"/>
      <c r="BG6" s="57"/>
      <c r="BH6" s="57"/>
      <c r="BI6" s="57"/>
      <c r="BJ6" s="57"/>
      <c r="BK6" s="101"/>
      <c r="BL6" s="101"/>
      <c r="BM6" s="57"/>
      <c r="BN6" s="57"/>
      <c r="BO6" s="57"/>
      <c r="BP6" s="57"/>
      <c r="BQ6" s="57"/>
      <c r="BR6" s="57"/>
      <c r="BS6" s="57"/>
      <c r="BT6" s="57"/>
      <c r="BU6" s="57"/>
      <c r="BV6" s="57"/>
      <c r="BW6" s="57"/>
      <c r="BX6" s="57"/>
      <c r="BY6" s="57"/>
      <c r="BZ6" s="57"/>
      <c r="CA6" s="57"/>
      <c r="CB6" s="57"/>
      <c r="CC6" s="57"/>
      <c r="CD6" s="57"/>
      <c r="CE6" s="101"/>
      <c r="CF6" s="57"/>
      <c r="CG6" s="57"/>
      <c r="CH6" s="57"/>
      <c r="CI6" s="57"/>
      <c r="CJ6" s="101"/>
      <c r="CK6" s="57"/>
      <c r="CL6" s="57"/>
      <c r="CM6" s="57"/>
      <c r="CN6" s="57"/>
      <c r="CO6" s="57"/>
      <c r="CP6" s="57"/>
      <c r="CQ6" s="57"/>
      <c r="CR6" s="57"/>
      <c r="CS6" s="101"/>
      <c r="CT6" s="101"/>
      <c r="CU6" s="168"/>
      <c r="CV6" s="101"/>
      <c r="CW6" s="57"/>
      <c r="CX6" s="57"/>
      <c r="CY6" s="101"/>
      <c r="CZ6" s="101"/>
      <c r="DA6" s="57"/>
      <c r="DB6" s="57"/>
      <c r="DC6" s="57"/>
      <c r="DD6" s="57"/>
      <c r="DE6" s="57"/>
      <c r="DF6" s="57"/>
      <c r="DG6" s="57"/>
      <c r="DH6" s="101"/>
      <c r="DI6" s="101"/>
      <c r="DJ6" s="57"/>
      <c r="DK6" s="57"/>
      <c r="DL6" s="57"/>
      <c r="DM6" s="57"/>
      <c r="DN6" s="57"/>
      <c r="DO6" s="57"/>
      <c r="DP6" s="320"/>
    </row>
    <row r="7" spans="2:120" ht="16.5" x14ac:dyDescent="0.35">
      <c r="B7" s="30"/>
      <c r="C7" s="29"/>
      <c r="D7" s="31">
        <v>30501101</v>
      </c>
      <c r="E7" s="184" t="s">
        <v>111</v>
      </c>
      <c r="F7" s="189" t="s">
        <v>196</v>
      </c>
      <c r="G7" s="314" t="s">
        <v>194</v>
      </c>
      <c r="H7" s="17" t="s">
        <v>78</v>
      </c>
      <c r="I7" s="203">
        <v>2.41E-2</v>
      </c>
      <c r="J7" s="98" t="s">
        <v>78</v>
      </c>
      <c r="K7" s="238">
        <v>1.4E-5</v>
      </c>
      <c r="L7" s="115" t="s">
        <v>78</v>
      </c>
      <c r="M7" s="238">
        <v>9.9999999999999995E-7</v>
      </c>
      <c r="N7" s="238">
        <v>9.9999999999999995E-7</v>
      </c>
      <c r="O7" s="238">
        <v>1.9999999999999999E-6</v>
      </c>
      <c r="P7" s="98">
        <v>1E-4</v>
      </c>
      <c r="Q7" s="445" t="s">
        <v>78</v>
      </c>
      <c r="R7" s="238">
        <v>4.1999999999999998E-5</v>
      </c>
      <c r="S7" s="238">
        <v>3.0000000000000001E-5</v>
      </c>
      <c r="T7" s="60">
        <v>1.1999999999999999E-3</v>
      </c>
      <c r="U7" s="183" t="s">
        <v>78</v>
      </c>
      <c r="V7" s="115" t="s">
        <v>78</v>
      </c>
      <c r="W7" s="238">
        <v>1.7E-5</v>
      </c>
      <c r="X7" s="98">
        <v>8.0000000000000004E-4</v>
      </c>
      <c r="Y7" s="238">
        <v>9.9999999999999995E-7</v>
      </c>
      <c r="Z7" s="92">
        <v>9.1999999999999998E-2</v>
      </c>
      <c r="AA7" s="183" t="s">
        <v>78</v>
      </c>
      <c r="AB7" s="183" t="s">
        <v>78</v>
      </c>
      <c r="AC7" s="417">
        <v>1.2899999999999999E-4</v>
      </c>
      <c r="AD7" s="155" t="s">
        <v>78</v>
      </c>
      <c r="AE7" s="135" t="s">
        <v>78</v>
      </c>
      <c r="AF7" s="95" t="s">
        <v>78</v>
      </c>
      <c r="AG7" s="135" t="s">
        <v>78</v>
      </c>
      <c r="AH7" s="95" t="s">
        <v>78</v>
      </c>
      <c r="AI7" s="95" t="s">
        <v>78</v>
      </c>
      <c r="AJ7" s="95" t="s">
        <v>78</v>
      </c>
      <c r="AK7" s="135" t="s">
        <v>78</v>
      </c>
      <c r="AL7" s="95" t="s">
        <v>78</v>
      </c>
      <c r="AM7" s="95" t="s">
        <v>78</v>
      </c>
      <c r="AN7" s="95" t="s">
        <v>78</v>
      </c>
      <c r="AO7" s="95" t="s">
        <v>78</v>
      </c>
      <c r="AP7" s="135" t="s">
        <v>78</v>
      </c>
      <c r="AQ7" s="135" t="s">
        <v>78</v>
      </c>
      <c r="AR7" s="95" t="s">
        <v>78</v>
      </c>
      <c r="AS7" s="95" t="s">
        <v>78</v>
      </c>
      <c r="AT7" s="95" t="s">
        <v>78</v>
      </c>
      <c r="AU7" s="95" t="s">
        <v>78</v>
      </c>
      <c r="AV7" s="60">
        <v>2.0000000000000001E-4</v>
      </c>
      <c r="AW7" s="17" t="s">
        <v>78</v>
      </c>
      <c r="AX7" s="17" t="s">
        <v>78</v>
      </c>
      <c r="AY7" s="17" t="s">
        <v>78</v>
      </c>
      <c r="AZ7" s="69" t="s">
        <v>78</v>
      </c>
      <c r="BA7" s="17" t="s">
        <v>78</v>
      </c>
      <c r="BB7" s="17" t="s">
        <v>78</v>
      </c>
      <c r="BC7" s="69" t="s">
        <v>78</v>
      </c>
      <c r="BD7" s="69" t="s">
        <v>78</v>
      </c>
      <c r="BE7" s="17" t="s">
        <v>78</v>
      </c>
      <c r="BF7" s="17" t="s">
        <v>78</v>
      </c>
      <c r="BG7" s="17" t="s">
        <v>78</v>
      </c>
      <c r="BH7" s="17" t="s">
        <v>78</v>
      </c>
      <c r="BI7" s="17" t="s">
        <v>78</v>
      </c>
      <c r="BJ7" s="17" t="s">
        <v>78</v>
      </c>
      <c r="BK7" s="69" t="s">
        <v>78</v>
      </c>
      <c r="BL7" s="69" t="s">
        <v>78</v>
      </c>
      <c r="BM7" s="17" t="s">
        <v>78</v>
      </c>
      <c r="BN7" s="17" t="s">
        <v>78</v>
      </c>
      <c r="BO7" s="17" t="s">
        <v>78</v>
      </c>
      <c r="BP7" s="17" t="s">
        <v>78</v>
      </c>
      <c r="BQ7" s="17" t="s">
        <v>78</v>
      </c>
      <c r="BR7" s="17" t="s">
        <v>78</v>
      </c>
      <c r="BS7" s="17" t="s">
        <v>78</v>
      </c>
      <c r="BT7" s="17" t="s">
        <v>78</v>
      </c>
      <c r="BU7" s="17" t="s">
        <v>78</v>
      </c>
      <c r="BV7" s="17" t="s">
        <v>78</v>
      </c>
      <c r="BW7" s="17" t="s">
        <v>78</v>
      </c>
      <c r="BX7" s="17" t="s">
        <v>78</v>
      </c>
      <c r="BY7" s="17" t="s">
        <v>78</v>
      </c>
      <c r="BZ7" s="17" t="s">
        <v>78</v>
      </c>
      <c r="CA7" s="17" t="s">
        <v>78</v>
      </c>
      <c r="CB7" s="17" t="s">
        <v>78</v>
      </c>
      <c r="CC7" s="17" t="s">
        <v>78</v>
      </c>
      <c r="CD7" s="17" t="s">
        <v>78</v>
      </c>
      <c r="CE7" s="69" t="s">
        <v>78</v>
      </c>
      <c r="CF7" s="17" t="s">
        <v>78</v>
      </c>
      <c r="CG7" s="17" t="s">
        <v>78</v>
      </c>
      <c r="CH7" s="17" t="s">
        <v>78</v>
      </c>
      <c r="CI7" s="17" t="s">
        <v>78</v>
      </c>
      <c r="CJ7" s="69" t="s">
        <v>78</v>
      </c>
      <c r="CK7" s="17" t="s">
        <v>78</v>
      </c>
      <c r="CL7" s="17" t="s">
        <v>78</v>
      </c>
      <c r="CM7" s="17" t="s">
        <v>78</v>
      </c>
      <c r="CN7" s="17" t="s">
        <v>78</v>
      </c>
      <c r="CO7" s="17" t="s">
        <v>78</v>
      </c>
      <c r="CP7" s="17" t="s">
        <v>78</v>
      </c>
      <c r="CQ7" s="17" t="s">
        <v>78</v>
      </c>
      <c r="CR7" s="17" t="s">
        <v>78</v>
      </c>
      <c r="CS7" s="69" t="s">
        <v>78</v>
      </c>
      <c r="CT7" s="69" t="s">
        <v>78</v>
      </c>
      <c r="CU7" s="17" t="s">
        <v>78</v>
      </c>
      <c r="CV7" s="135" t="s">
        <v>78</v>
      </c>
      <c r="CW7" s="17" t="s">
        <v>78</v>
      </c>
      <c r="CX7" s="17" t="s">
        <v>78</v>
      </c>
      <c r="CY7" s="69" t="s">
        <v>78</v>
      </c>
      <c r="CZ7" s="135" t="s">
        <v>78</v>
      </c>
      <c r="DA7" s="17" t="s">
        <v>78</v>
      </c>
      <c r="DB7" s="17" t="s">
        <v>78</v>
      </c>
      <c r="DC7" s="17" t="s">
        <v>78</v>
      </c>
      <c r="DD7" s="17" t="s">
        <v>78</v>
      </c>
      <c r="DE7" s="17" t="s">
        <v>78</v>
      </c>
      <c r="DF7" s="17" t="s">
        <v>78</v>
      </c>
      <c r="DG7" s="17" t="s">
        <v>78</v>
      </c>
      <c r="DH7" s="69" t="s">
        <v>78</v>
      </c>
      <c r="DI7" s="69" t="s">
        <v>78</v>
      </c>
      <c r="DJ7" s="17" t="s">
        <v>78</v>
      </c>
      <c r="DK7" s="17" t="s">
        <v>78</v>
      </c>
      <c r="DL7" s="17" t="s">
        <v>78</v>
      </c>
      <c r="DM7" s="17" t="s">
        <v>78</v>
      </c>
      <c r="DN7" s="17" t="s">
        <v>78</v>
      </c>
      <c r="DO7" s="17" t="s">
        <v>78</v>
      </c>
      <c r="DP7" s="52" t="s">
        <v>78</v>
      </c>
    </row>
    <row r="8" spans="2:120" ht="16.5" x14ac:dyDescent="0.35">
      <c r="B8" s="30"/>
      <c r="C8" s="29"/>
      <c r="D8" s="31">
        <v>30501106</v>
      </c>
      <c r="E8" s="184" t="s">
        <v>112</v>
      </c>
      <c r="F8" s="189" t="s">
        <v>328</v>
      </c>
      <c r="G8" s="314" t="s">
        <v>194</v>
      </c>
      <c r="H8" s="17" t="s">
        <v>78</v>
      </c>
      <c r="I8" s="203">
        <v>2.41E-2</v>
      </c>
      <c r="J8" s="98" t="s">
        <v>78</v>
      </c>
      <c r="K8" s="238">
        <v>1.4E-5</v>
      </c>
      <c r="L8" s="115" t="s">
        <v>78</v>
      </c>
      <c r="M8" s="238">
        <v>9.9999999999999995E-7</v>
      </c>
      <c r="N8" s="238">
        <v>9.9999999999999995E-7</v>
      </c>
      <c r="O8" s="238">
        <v>1.9999999999999999E-6</v>
      </c>
      <c r="P8" s="98">
        <v>1E-4</v>
      </c>
      <c r="Q8" s="445" t="s">
        <v>78</v>
      </c>
      <c r="R8" s="238">
        <v>4.1999999999999998E-5</v>
      </c>
      <c r="S8" s="238">
        <v>3.0000000000000001E-5</v>
      </c>
      <c r="T8" s="60">
        <v>1.1999999999999999E-3</v>
      </c>
      <c r="U8" s="183" t="s">
        <v>78</v>
      </c>
      <c r="V8" s="115" t="s">
        <v>78</v>
      </c>
      <c r="W8" s="238">
        <v>1.7E-5</v>
      </c>
      <c r="X8" s="98">
        <v>8.0000000000000004E-4</v>
      </c>
      <c r="Y8" s="238">
        <v>9.9999999999999995E-7</v>
      </c>
      <c r="Z8" s="60">
        <f>6.25/100</f>
        <v>6.25E-2</v>
      </c>
      <c r="AA8" s="183" t="s">
        <v>78</v>
      </c>
      <c r="AB8" s="183" t="s">
        <v>78</v>
      </c>
      <c r="AC8" s="417">
        <v>1.2899999999999999E-4</v>
      </c>
      <c r="AD8" s="155" t="s">
        <v>78</v>
      </c>
      <c r="AE8" s="135" t="s">
        <v>78</v>
      </c>
      <c r="AF8" s="95" t="s">
        <v>78</v>
      </c>
      <c r="AG8" s="135" t="s">
        <v>78</v>
      </c>
      <c r="AH8" s="95" t="s">
        <v>78</v>
      </c>
      <c r="AI8" s="95" t="s">
        <v>78</v>
      </c>
      <c r="AJ8" s="95" t="s">
        <v>78</v>
      </c>
      <c r="AK8" s="135" t="s">
        <v>78</v>
      </c>
      <c r="AL8" s="95" t="s">
        <v>78</v>
      </c>
      <c r="AM8" s="95" t="s">
        <v>78</v>
      </c>
      <c r="AN8" s="95" t="s">
        <v>78</v>
      </c>
      <c r="AO8" s="95" t="s">
        <v>78</v>
      </c>
      <c r="AP8" s="135" t="s">
        <v>78</v>
      </c>
      <c r="AQ8" s="135" t="s">
        <v>78</v>
      </c>
      <c r="AR8" s="95" t="s">
        <v>78</v>
      </c>
      <c r="AS8" s="95" t="s">
        <v>78</v>
      </c>
      <c r="AT8" s="95" t="s">
        <v>78</v>
      </c>
      <c r="AU8" s="95" t="s">
        <v>78</v>
      </c>
      <c r="AV8" s="60">
        <v>2.0000000000000001E-4</v>
      </c>
      <c r="AW8" s="17" t="s">
        <v>78</v>
      </c>
      <c r="AX8" s="17" t="s">
        <v>78</v>
      </c>
      <c r="AY8" s="17" t="s">
        <v>78</v>
      </c>
      <c r="AZ8" s="69" t="s">
        <v>78</v>
      </c>
      <c r="BA8" s="17" t="s">
        <v>78</v>
      </c>
      <c r="BB8" s="17" t="s">
        <v>78</v>
      </c>
      <c r="BC8" s="69" t="s">
        <v>78</v>
      </c>
      <c r="BD8" s="69" t="s">
        <v>78</v>
      </c>
      <c r="BE8" s="17" t="s">
        <v>78</v>
      </c>
      <c r="BF8" s="17" t="s">
        <v>78</v>
      </c>
      <c r="BG8" s="17" t="s">
        <v>78</v>
      </c>
      <c r="BH8" s="17" t="s">
        <v>78</v>
      </c>
      <c r="BI8" s="17" t="s">
        <v>78</v>
      </c>
      <c r="BJ8" s="17" t="s">
        <v>78</v>
      </c>
      <c r="BK8" s="69" t="s">
        <v>78</v>
      </c>
      <c r="BL8" s="69" t="s">
        <v>78</v>
      </c>
      <c r="BM8" s="17" t="s">
        <v>78</v>
      </c>
      <c r="BN8" s="17" t="s">
        <v>78</v>
      </c>
      <c r="BO8" s="17" t="s">
        <v>78</v>
      </c>
      <c r="BP8" s="17" t="s">
        <v>78</v>
      </c>
      <c r="BQ8" s="17" t="s">
        <v>78</v>
      </c>
      <c r="BR8" s="17" t="s">
        <v>78</v>
      </c>
      <c r="BS8" s="17" t="s">
        <v>78</v>
      </c>
      <c r="BT8" s="17" t="s">
        <v>78</v>
      </c>
      <c r="BU8" s="17" t="s">
        <v>78</v>
      </c>
      <c r="BV8" s="17" t="s">
        <v>78</v>
      </c>
      <c r="BW8" s="17" t="s">
        <v>78</v>
      </c>
      <c r="BX8" s="17" t="s">
        <v>78</v>
      </c>
      <c r="BY8" s="17" t="s">
        <v>78</v>
      </c>
      <c r="BZ8" s="17" t="s">
        <v>78</v>
      </c>
      <c r="CA8" s="17" t="s">
        <v>78</v>
      </c>
      <c r="CB8" s="17" t="s">
        <v>78</v>
      </c>
      <c r="CC8" s="17" t="s">
        <v>78</v>
      </c>
      <c r="CD8" s="17" t="s">
        <v>78</v>
      </c>
      <c r="CE8" s="69" t="s">
        <v>78</v>
      </c>
      <c r="CF8" s="17" t="s">
        <v>78</v>
      </c>
      <c r="CG8" s="17" t="s">
        <v>78</v>
      </c>
      <c r="CH8" s="17" t="s">
        <v>78</v>
      </c>
      <c r="CI8" s="17" t="s">
        <v>78</v>
      </c>
      <c r="CJ8" s="69" t="s">
        <v>78</v>
      </c>
      <c r="CK8" s="17" t="s">
        <v>78</v>
      </c>
      <c r="CL8" s="17" t="s">
        <v>78</v>
      </c>
      <c r="CM8" s="17" t="s">
        <v>78</v>
      </c>
      <c r="CN8" s="17" t="s">
        <v>78</v>
      </c>
      <c r="CO8" s="17" t="s">
        <v>78</v>
      </c>
      <c r="CP8" s="17" t="s">
        <v>78</v>
      </c>
      <c r="CQ8" s="17" t="s">
        <v>78</v>
      </c>
      <c r="CR8" s="17" t="s">
        <v>78</v>
      </c>
      <c r="CS8" s="69" t="s">
        <v>78</v>
      </c>
      <c r="CT8" s="69" t="s">
        <v>78</v>
      </c>
      <c r="CU8" s="17" t="s">
        <v>78</v>
      </c>
      <c r="CV8" s="135" t="s">
        <v>78</v>
      </c>
      <c r="CW8" s="17" t="s">
        <v>78</v>
      </c>
      <c r="CX8" s="17" t="s">
        <v>78</v>
      </c>
      <c r="CY8" s="69" t="s">
        <v>78</v>
      </c>
      <c r="CZ8" s="135" t="s">
        <v>78</v>
      </c>
      <c r="DA8" s="17" t="s">
        <v>78</v>
      </c>
      <c r="DB8" s="17" t="s">
        <v>78</v>
      </c>
      <c r="DC8" s="17" t="s">
        <v>78</v>
      </c>
      <c r="DD8" s="17" t="s">
        <v>78</v>
      </c>
      <c r="DE8" s="17" t="s">
        <v>78</v>
      </c>
      <c r="DF8" s="17" t="s">
        <v>78</v>
      </c>
      <c r="DG8" s="17" t="s">
        <v>78</v>
      </c>
      <c r="DH8" s="69" t="s">
        <v>78</v>
      </c>
      <c r="DI8" s="69" t="s">
        <v>78</v>
      </c>
      <c r="DJ8" s="17" t="s">
        <v>78</v>
      </c>
      <c r="DK8" s="17" t="s">
        <v>78</v>
      </c>
      <c r="DL8" s="17" t="s">
        <v>78</v>
      </c>
      <c r="DM8" s="17" t="s">
        <v>78</v>
      </c>
      <c r="DN8" s="17" t="s">
        <v>78</v>
      </c>
      <c r="DO8" s="17" t="s">
        <v>78</v>
      </c>
      <c r="DP8" s="52" t="s">
        <v>78</v>
      </c>
    </row>
    <row r="9" spans="2:120" ht="16.5" x14ac:dyDescent="0.35">
      <c r="B9" s="30"/>
      <c r="C9" s="29"/>
      <c r="D9" s="31">
        <v>30501107</v>
      </c>
      <c r="E9" s="184" t="s">
        <v>113</v>
      </c>
      <c r="F9" s="189" t="s">
        <v>196</v>
      </c>
      <c r="G9" s="314" t="s">
        <v>194</v>
      </c>
      <c r="H9" s="17" t="s">
        <v>78</v>
      </c>
      <c r="I9" s="203">
        <v>2.41E-2</v>
      </c>
      <c r="J9" s="98" t="s">
        <v>78</v>
      </c>
      <c r="K9" s="238">
        <v>1.4E-5</v>
      </c>
      <c r="L9" s="115" t="s">
        <v>78</v>
      </c>
      <c r="M9" s="238">
        <v>9.9999999999999995E-7</v>
      </c>
      <c r="N9" s="238">
        <v>9.9999999999999995E-7</v>
      </c>
      <c r="O9" s="238">
        <v>1.9999999999999999E-6</v>
      </c>
      <c r="P9" s="98">
        <v>1E-4</v>
      </c>
      <c r="Q9" s="445" t="s">
        <v>78</v>
      </c>
      <c r="R9" s="238">
        <v>4.1999999999999998E-5</v>
      </c>
      <c r="S9" s="238">
        <v>3.0000000000000001E-5</v>
      </c>
      <c r="T9" s="60">
        <v>1.1999999999999999E-3</v>
      </c>
      <c r="U9" s="183" t="s">
        <v>78</v>
      </c>
      <c r="V9" s="115" t="s">
        <v>78</v>
      </c>
      <c r="W9" s="238">
        <v>1.7E-5</v>
      </c>
      <c r="X9" s="98">
        <v>8.0000000000000004E-4</v>
      </c>
      <c r="Y9" s="238">
        <v>9.9999999999999995E-7</v>
      </c>
      <c r="Z9" s="92">
        <v>9.1999999999999998E-2</v>
      </c>
      <c r="AA9" s="183" t="s">
        <v>78</v>
      </c>
      <c r="AB9" s="183" t="s">
        <v>78</v>
      </c>
      <c r="AC9" s="417">
        <v>1.2899999999999999E-4</v>
      </c>
      <c r="AD9" s="155" t="s">
        <v>78</v>
      </c>
      <c r="AE9" s="135" t="s">
        <v>78</v>
      </c>
      <c r="AF9" s="95" t="s">
        <v>78</v>
      </c>
      <c r="AG9" s="135" t="s">
        <v>78</v>
      </c>
      <c r="AH9" s="95" t="s">
        <v>78</v>
      </c>
      <c r="AI9" s="95" t="s">
        <v>78</v>
      </c>
      <c r="AJ9" s="95" t="s">
        <v>78</v>
      </c>
      <c r="AK9" s="135" t="s">
        <v>78</v>
      </c>
      <c r="AL9" s="95" t="s">
        <v>78</v>
      </c>
      <c r="AM9" s="95" t="s">
        <v>78</v>
      </c>
      <c r="AN9" s="95" t="s">
        <v>78</v>
      </c>
      <c r="AO9" s="95" t="s">
        <v>78</v>
      </c>
      <c r="AP9" s="135" t="s">
        <v>78</v>
      </c>
      <c r="AQ9" s="135" t="s">
        <v>78</v>
      </c>
      <c r="AR9" s="95" t="s">
        <v>78</v>
      </c>
      <c r="AS9" s="95" t="s">
        <v>78</v>
      </c>
      <c r="AT9" s="95" t="s">
        <v>78</v>
      </c>
      <c r="AU9" s="95" t="s">
        <v>78</v>
      </c>
      <c r="AV9" s="60">
        <v>2.0000000000000001E-4</v>
      </c>
      <c r="AW9" s="17" t="s">
        <v>78</v>
      </c>
      <c r="AX9" s="17" t="s">
        <v>78</v>
      </c>
      <c r="AY9" s="17" t="s">
        <v>78</v>
      </c>
      <c r="AZ9" s="69" t="s">
        <v>78</v>
      </c>
      <c r="BA9" s="17" t="s">
        <v>78</v>
      </c>
      <c r="BB9" s="17" t="s">
        <v>78</v>
      </c>
      <c r="BC9" s="69" t="s">
        <v>78</v>
      </c>
      <c r="BD9" s="69" t="s">
        <v>78</v>
      </c>
      <c r="BE9" s="17" t="s">
        <v>78</v>
      </c>
      <c r="BF9" s="17" t="s">
        <v>78</v>
      </c>
      <c r="BG9" s="17" t="s">
        <v>78</v>
      </c>
      <c r="BH9" s="17" t="s">
        <v>78</v>
      </c>
      <c r="BI9" s="17" t="s">
        <v>78</v>
      </c>
      <c r="BJ9" s="17" t="s">
        <v>78</v>
      </c>
      <c r="BK9" s="69" t="s">
        <v>78</v>
      </c>
      <c r="BL9" s="69" t="s">
        <v>78</v>
      </c>
      <c r="BM9" s="17" t="s">
        <v>78</v>
      </c>
      <c r="BN9" s="17" t="s">
        <v>78</v>
      </c>
      <c r="BO9" s="17" t="s">
        <v>78</v>
      </c>
      <c r="BP9" s="17" t="s">
        <v>78</v>
      </c>
      <c r="BQ9" s="17" t="s">
        <v>78</v>
      </c>
      <c r="BR9" s="17" t="s">
        <v>78</v>
      </c>
      <c r="BS9" s="17" t="s">
        <v>78</v>
      </c>
      <c r="BT9" s="17" t="s">
        <v>78</v>
      </c>
      <c r="BU9" s="17" t="s">
        <v>78</v>
      </c>
      <c r="BV9" s="17" t="s">
        <v>78</v>
      </c>
      <c r="BW9" s="17" t="s">
        <v>78</v>
      </c>
      <c r="BX9" s="17" t="s">
        <v>78</v>
      </c>
      <c r="BY9" s="17" t="s">
        <v>78</v>
      </c>
      <c r="BZ9" s="17" t="s">
        <v>78</v>
      </c>
      <c r="CA9" s="17" t="s">
        <v>78</v>
      </c>
      <c r="CB9" s="17" t="s">
        <v>78</v>
      </c>
      <c r="CC9" s="17" t="s">
        <v>78</v>
      </c>
      <c r="CD9" s="17" t="s">
        <v>78</v>
      </c>
      <c r="CE9" s="69" t="s">
        <v>78</v>
      </c>
      <c r="CF9" s="17" t="s">
        <v>78</v>
      </c>
      <c r="CG9" s="17" t="s">
        <v>78</v>
      </c>
      <c r="CH9" s="17" t="s">
        <v>78</v>
      </c>
      <c r="CI9" s="17" t="s">
        <v>78</v>
      </c>
      <c r="CJ9" s="69" t="s">
        <v>78</v>
      </c>
      <c r="CK9" s="17" t="s">
        <v>78</v>
      </c>
      <c r="CL9" s="17" t="s">
        <v>78</v>
      </c>
      <c r="CM9" s="17" t="s">
        <v>78</v>
      </c>
      <c r="CN9" s="17" t="s">
        <v>78</v>
      </c>
      <c r="CO9" s="17" t="s">
        <v>78</v>
      </c>
      <c r="CP9" s="17" t="s">
        <v>78</v>
      </c>
      <c r="CQ9" s="17" t="s">
        <v>78</v>
      </c>
      <c r="CR9" s="17" t="s">
        <v>78</v>
      </c>
      <c r="CS9" s="69" t="s">
        <v>78</v>
      </c>
      <c r="CT9" s="69" t="s">
        <v>78</v>
      </c>
      <c r="CU9" s="17" t="s">
        <v>78</v>
      </c>
      <c r="CV9" s="135" t="s">
        <v>78</v>
      </c>
      <c r="CW9" s="17" t="s">
        <v>78</v>
      </c>
      <c r="CX9" s="17" t="s">
        <v>78</v>
      </c>
      <c r="CY9" s="69" t="s">
        <v>78</v>
      </c>
      <c r="CZ9" s="135" t="s">
        <v>78</v>
      </c>
      <c r="DA9" s="17" t="s">
        <v>78</v>
      </c>
      <c r="DB9" s="17" t="s">
        <v>78</v>
      </c>
      <c r="DC9" s="17" t="s">
        <v>78</v>
      </c>
      <c r="DD9" s="17" t="s">
        <v>78</v>
      </c>
      <c r="DE9" s="17" t="s">
        <v>78</v>
      </c>
      <c r="DF9" s="17" t="s">
        <v>78</v>
      </c>
      <c r="DG9" s="17" t="s">
        <v>78</v>
      </c>
      <c r="DH9" s="69" t="s">
        <v>78</v>
      </c>
      <c r="DI9" s="69" t="s">
        <v>78</v>
      </c>
      <c r="DJ9" s="17" t="s">
        <v>78</v>
      </c>
      <c r="DK9" s="17" t="s">
        <v>78</v>
      </c>
      <c r="DL9" s="17" t="s">
        <v>78</v>
      </c>
      <c r="DM9" s="17" t="s">
        <v>78</v>
      </c>
      <c r="DN9" s="17" t="s">
        <v>78</v>
      </c>
      <c r="DO9" s="17" t="s">
        <v>78</v>
      </c>
      <c r="DP9" s="52" t="s">
        <v>78</v>
      </c>
    </row>
    <row r="10" spans="2:120" ht="16.5" x14ac:dyDescent="0.35">
      <c r="B10" s="30"/>
      <c r="C10" s="29"/>
      <c r="D10" s="31">
        <v>30501108</v>
      </c>
      <c r="E10" s="184" t="s">
        <v>114</v>
      </c>
      <c r="F10" s="189" t="s">
        <v>196</v>
      </c>
      <c r="G10" s="314" t="s">
        <v>194</v>
      </c>
      <c r="H10" s="17" t="s">
        <v>78</v>
      </c>
      <c r="I10" s="203">
        <v>2.41E-2</v>
      </c>
      <c r="J10" s="98" t="s">
        <v>78</v>
      </c>
      <c r="K10" s="238">
        <v>1.4E-5</v>
      </c>
      <c r="L10" s="115" t="s">
        <v>78</v>
      </c>
      <c r="M10" s="238">
        <v>9.9999999999999995E-7</v>
      </c>
      <c r="N10" s="238">
        <v>9.9999999999999995E-7</v>
      </c>
      <c r="O10" s="238">
        <v>1.9999999999999999E-6</v>
      </c>
      <c r="P10" s="98">
        <v>1E-4</v>
      </c>
      <c r="Q10" s="445" t="s">
        <v>78</v>
      </c>
      <c r="R10" s="238">
        <v>4.1999999999999998E-5</v>
      </c>
      <c r="S10" s="238">
        <v>3.0000000000000001E-5</v>
      </c>
      <c r="T10" s="60">
        <v>1.1999999999999999E-3</v>
      </c>
      <c r="U10" s="183" t="s">
        <v>78</v>
      </c>
      <c r="V10" s="115" t="s">
        <v>78</v>
      </c>
      <c r="W10" s="238">
        <v>1.7E-5</v>
      </c>
      <c r="X10" s="98">
        <v>8.0000000000000004E-4</v>
      </c>
      <c r="Y10" s="238">
        <v>9.9999999999999995E-7</v>
      </c>
      <c r="Z10" s="92">
        <v>9.1999999999999998E-2</v>
      </c>
      <c r="AA10" s="183" t="s">
        <v>78</v>
      </c>
      <c r="AB10" s="183" t="s">
        <v>78</v>
      </c>
      <c r="AC10" s="417">
        <v>1.2899999999999999E-4</v>
      </c>
      <c r="AD10" s="155" t="s">
        <v>78</v>
      </c>
      <c r="AE10" s="135" t="s">
        <v>78</v>
      </c>
      <c r="AF10" s="95" t="s">
        <v>78</v>
      </c>
      <c r="AG10" s="135" t="s">
        <v>78</v>
      </c>
      <c r="AH10" s="95" t="s">
        <v>78</v>
      </c>
      <c r="AI10" s="95" t="s">
        <v>78</v>
      </c>
      <c r="AJ10" s="95" t="s">
        <v>78</v>
      </c>
      <c r="AK10" s="135" t="s">
        <v>78</v>
      </c>
      <c r="AL10" s="95" t="s">
        <v>78</v>
      </c>
      <c r="AM10" s="95" t="s">
        <v>78</v>
      </c>
      <c r="AN10" s="95" t="s">
        <v>78</v>
      </c>
      <c r="AO10" s="95" t="s">
        <v>78</v>
      </c>
      <c r="AP10" s="135" t="s">
        <v>78</v>
      </c>
      <c r="AQ10" s="135" t="s">
        <v>78</v>
      </c>
      <c r="AR10" s="95" t="s">
        <v>78</v>
      </c>
      <c r="AS10" s="95" t="s">
        <v>78</v>
      </c>
      <c r="AT10" s="95" t="s">
        <v>78</v>
      </c>
      <c r="AU10" s="95" t="s">
        <v>78</v>
      </c>
      <c r="AV10" s="60">
        <v>2.0000000000000001E-4</v>
      </c>
      <c r="AW10" s="17" t="s">
        <v>78</v>
      </c>
      <c r="AX10" s="17" t="s">
        <v>78</v>
      </c>
      <c r="AY10" s="17" t="s">
        <v>78</v>
      </c>
      <c r="AZ10" s="69" t="s">
        <v>78</v>
      </c>
      <c r="BA10" s="17" t="s">
        <v>78</v>
      </c>
      <c r="BB10" s="17" t="s">
        <v>78</v>
      </c>
      <c r="BC10" s="69" t="s">
        <v>78</v>
      </c>
      <c r="BD10" s="69" t="s">
        <v>78</v>
      </c>
      <c r="BE10" s="17" t="s">
        <v>78</v>
      </c>
      <c r="BF10" s="17" t="s">
        <v>78</v>
      </c>
      <c r="BG10" s="17" t="s">
        <v>78</v>
      </c>
      <c r="BH10" s="17" t="s">
        <v>78</v>
      </c>
      <c r="BI10" s="17" t="s">
        <v>78</v>
      </c>
      <c r="BJ10" s="17" t="s">
        <v>78</v>
      </c>
      <c r="BK10" s="69" t="s">
        <v>78</v>
      </c>
      <c r="BL10" s="69" t="s">
        <v>78</v>
      </c>
      <c r="BM10" s="17" t="s">
        <v>78</v>
      </c>
      <c r="BN10" s="17" t="s">
        <v>78</v>
      </c>
      <c r="BO10" s="17" t="s">
        <v>78</v>
      </c>
      <c r="BP10" s="17" t="s">
        <v>78</v>
      </c>
      <c r="BQ10" s="17" t="s">
        <v>78</v>
      </c>
      <c r="BR10" s="17" t="s">
        <v>78</v>
      </c>
      <c r="BS10" s="17" t="s">
        <v>78</v>
      </c>
      <c r="BT10" s="17" t="s">
        <v>78</v>
      </c>
      <c r="BU10" s="17" t="s">
        <v>78</v>
      </c>
      <c r="BV10" s="17" t="s">
        <v>78</v>
      </c>
      <c r="BW10" s="17" t="s">
        <v>78</v>
      </c>
      <c r="BX10" s="17" t="s">
        <v>78</v>
      </c>
      <c r="BY10" s="17" t="s">
        <v>78</v>
      </c>
      <c r="BZ10" s="17" t="s">
        <v>78</v>
      </c>
      <c r="CA10" s="17" t="s">
        <v>78</v>
      </c>
      <c r="CB10" s="17" t="s">
        <v>78</v>
      </c>
      <c r="CC10" s="17" t="s">
        <v>78</v>
      </c>
      <c r="CD10" s="17" t="s">
        <v>78</v>
      </c>
      <c r="CE10" s="69" t="s">
        <v>78</v>
      </c>
      <c r="CF10" s="17" t="s">
        <v>78</v>
      </c>
      <c r="CG10" s="17" t="s">
        <v>78</v>
      </c>
      <c r="CH10" s="17" t="s">
        <v>78</v>
      </c>
      <c r="CI10" s="17" t="s">
        <v>78</v>
      </c>
      <c r="CJ10" s="69" t="s">
        <v>78</v>
      </c>
      <c r="CK10" s="17" t="s">
        <v>78</v>
      </c>
      <c r="CL10" s="17" t="s">
        <v>78</v>
      </c>
      <c r="CM10" s="17" t="s">
        <v>78</v>
      </c>
      <c r="CN10" s="17" t="s">
        <v>78</v>
      </c>
      <c r="CO10" s="17" t="s">
        <v>78</v>
      </c>
      <c r="CP10" s="17" t="s">
        <v>78</v>
      </c>
      <c r="CQ10" s="17" t="s">
        <v>78</v>
      </c>
      <c r="CR10" s="17" t="s">
        <v>78</v>
      </c>
      <c r="CS10" s="69" t="s">
        <v>78</v>
      </c>
      <c r="CT10" s="69" t="s">
        <v>78</v>
      </c>
      <c r="CU10" s="17" t="s">
        <v>78</v>
      </c>
      <c r="CV10" s="135" t="s">
        <v>78</v>
      </c>
      <c r="CW10" s="17" t="s">
        <v>78</v>
      </c>
      <c r="CX10" s="17" t="s">
        <v>78</v>
      </c>
      <c r="CY10" s="69" t="s">
        <v>78</v>
      </c>
      <c r="CZ10" s="135" t="s">
        <v>78</v>
      </c>
      <c r="DA10" s="17" t="s">
        <v>78</v>
      </c>
      <c r="DB10" s="17" t="s">
        <v>78</v>
      </c>
      <c r="DC10" s="17" t="s">
        <v>78</v>
      </c>
      <c r="DD10" s="17" t="s">
        <v>78</v>
      </c>
      <c r="DE10" s="17" t="s">
        <v>78</v>
      </c>
      <c r="DF10" s="17" t="s">
        <v>78</v>
      </c>
      <c r="DG10" s="17" t="s">
        <v>78</v>
      </c>
      <c r="DH10" s="69" t="s">
        <v>78</v>
      </c>
      <c r="DI10" s="69" t="s">
        <v>78</v>
      </c>
      <c r="DJ10" s="17" t="s">
        <v>78</v>
      </c>
      <c r="DK10" s="17" t="s">
        <v>78</v>
      </c>
      <c r="DL10" s="17" t="s">
        <v>78</v>
      </c>
      <c r="DM10" s="17" t="s">
        <v>78</v>
      </c>
      <c r="DN10" s="17" t="s">
        <v>78</v>
      </c>
      <c r="DO10" s="17" t="s">
        <v>78</v>
      </c>
      <c r="DP10" s="52" t="s">
        <v>78</v>
      </c>
    </row>
    <row r="11" spans="2:120" ht="16.5" x14ac:dyDescent="0.35">
      <c r="B11" s="30"/>
      <c r="C11" s="29"/>
      <c r="D11" s="31">
        <v>30501109</v>
      </c>
      <c r="E11" s="184" t="s">
        <v>115</v>
      </c>
      <c r="F11" s="189" t="s">
        <v>196</v>
      </c>
      <c r="G11" s="314" t="s">
        <v>194</v>
      </c>
      <c r="H11" s="17" t="s">
        <v>78</v>
      </c>
      <c r="I11" s="203">
        <v>2.41E-2</v>
      </c>
      <c r="J11" s="98" t="s">
        <v>78</v>
      </c>
      <c r="K11" s="238">
        <v>1.4E-5</v>
      </c>
      <c r="L11" s="115" t="s">
        <v>78</v>
      </c>
      <c r="M11" s="238">
        <v>9.9999999999999995E-7</v>
      </c>
      <c r="N11" s="238">
        <v>9.9999999999999995E-7</v>
      </c>
      <c r="O11" s="238">
        <v>1.9999999999999999E-6</v>
      </c>
      <c r="P11" s="98">
        <v>1E-4</v>
      </c>
      <c r="Q11" s="445" t="s">
        <v>78</v>
      </c>
      <c r="R11" s="238">
        <v>4.1999999999999998E-5</v>
      </c>
      <c r="S11" s="238">
        <v>3.0000000000000001E-5</v>
      </c>
      <c r="T11" s="60">
        <v>1.1999999999999999E-3</v>
      </c>
      <c r="U11" s="183" t="s">
        <v>78</v>
      </c>
      <c r="V11" s="115" t="s">
        <v>78</v>
      </c>
      <c r="W11" s="238">
        <v>1.7E-5</v>
      </c>
      <c r="X11" s="98">
        <v>8.0000000000000004E-4</v>
      </c>
      <c r="Y11" s="238">
        <v>9.9999999999999995E-7</v>
      </c>
      <c r="Z11" s="92">
        <v>9.1999999999999998E-2</v>
      </c>
      <c r="AA11" s="183" t="s">
        <v>78</v>
      </c>
      <c r="AB11" s="183" t="s">
        <v>78</v>
      </c>
      <c r="AC11" s="417">
        <v>1.2899999999999999E-4</v>
      </c>
      <c r="AD11" s="155" t="s">
        <v>78</v>
      </c>
      <c r="AE11" s="135" t="s">
        <v>78</v>
      </c>
      <c r="AF11" s="95" t="s">
        <v>78</v>
      </c>
      <c r="AG11" s="135" t="s">
        <v>78</v>
      </c>
      <c r="AH11" s="95" t="s">
        <v>78</v>
      </c>
      <c r="AI11" s="95" t="s">
        <v>78</v>
      </c>
      <c r="AJ11" s="95" t="s">
        <v>78</v>
      </c>
      <c r="AK11" s="135" t="s">
        <v>78</v>
      </c>
      <c r="AL11" s="95" t="s">
        <v>78</v>
      </c>
      <c r="AM11" s="95" t="s">
        <v>78</v>
      </c>
      <c r="AN11" s="95" t="s">
        <v>78</v>
      </c>
      <c r="AO11" s="95" t="s">
        <v>78</v>
      </c>
      <c r="AP11" s="135" t="s">
        <v>78</v>
      </c>
      <c r="AQ11" s="135" t="s">
        <v>78</v>
      </c>
      <c r="AR11" s="95" t="s">
        <v>78</v>
      </c>
      <c r="AS11" s="95" t="s">
        <v>78</v>
      </c>
      <c r="AT11" s="95" t="s">
        <v>78</v>
      </c>
      <c r="AU11" s="95" t="s">
        <v>78</v>
      </c>
      <c r="AV11" s="60">
        <v>2.0000000000000001E-4</v>
      </c>
      <c r="AW11" s="17" t="s">
        <v>78</v>
      </c>
      <c r="AX11" s="17" t="s">
        <v>78</v>
      </c>
      <c r="AY11" s="17" t="s">
        <v>78</v>
      </c>
      <c r="AZ11" s="69" t="s">
        <v>78</v>
      </c>
      <c r="BA11" s="17" t="s">
        <v>78</v>
      </c>
      <c r="BB11" s="17" t="s">
        <v>78</v>
      </c>
      <c r="BC11" s="69" t="s">
        <v>78</v>
      </c>
      <c r="BD11" s="69" t="s">
        <v>78</v>
      </c>
      <c r="BE11" s="17" t="s">
        <v>78</v>
      </c>
      <c r="BF11" s="17" t="s">
        <v>78</v>
      </c>
      <c r="BG11" s="17" t="s">
        <v>78</v>
      </c>
      <c r="BH11" s="17" t="s">
        <v>78</v>
      </c>
      <c r="BI11" s="17" t="s">
        <v>78</v>
      </c>
      <c r="BJ11" s="17" t="s">
        <v>78</v>
      </c>
      <c r="BK11" s="69" t="s">
        <v>78</v>
      </c>
      <c r="BL11" s="69" t="s">
        <v>78</v>
      </c>
      <c r="BM11" s="17" t="s">
        <v>78</v>
      </c>
      <c r="BN11" s="17" t="s">
        <v>78</v>
      </c>
      <c r="BO11" s="17" t="s">
        <v>78</v>
      </c>
      <c r="BP11" s="17" t="s">
        <v>78</v>
      </c>
      <c r="BQ11" s="17" t="s">
        <v>78</v>
      </c>
      <c r="BR11" s="17" t="s">
        <v>78</v>
      </c>
      <c r="BS11" s="17" t="s">
        <v>78</v>
      </c>
      <c r="BT11" s="17" t="s">
        <v>78</v>
      </c>
      <c r="BU11" s="17" t="s">
        <v>78</v>
      </c>
      <c r="BV11" s="17" t="s">
        <v>78</v>
      </c>
      <c r="BW11" s="17" t="s">
        <v>78</v>
      </c>
      <c r="BX11" s="17" t="s">
        <v>78</v>
      </c>
      <c r="BY11" s="17" t="s">
        <v>78</v>
      </c>
      <c r="BZ11" s="17" t="s">
        <v>78</v>
      </c>
      <c r="CA11" s="17" t="s">
        <v>78</v>
      </c>
      <c r="CB11" s="17" t="s">
        <v>78</v>
      </c>
      <c r="CC11" s="17" t="s">
        <v>78</v>
      </c>
      <c r="CD11" s="17" t="s">
        <v>78</v>
      </c>
      <c r="CE11" s="69" t="s">
        <v>78</v>
      </c>
      <c r="CF11" s="17" t="s">
        <v>78</v>
      </c>
      <c r="CG11" s="17" t="s">
        <v>78</v>
      </c>
      <c r="CH11" s="17" t="s">
        <v>78</v>
      </c>
      <c r="CI11" s="17" t="s">
        <v>78</v>
      </c>
      <c r="CJ11" s="69" t="s">
        <v>78</v>
      </c>
      <c r="CK11" s="17" t="s">
        <v>78</v>
      </c>
      <c r="CL11" s="17" t="s">
        <v>78</v>
      </c>
      <c r="CM11" s="17" t="s">
        <v>78</v>
      </c>
      <c r="CN11" s="17" t="s">
        <v>78</v>
      </c>
      <c r="CO11" s="17" t="s">
        <v>78</v>
      </c>
      <c r="CP11" s="17" t="s">
        <v>78</v>
      </c>
      <c r="CQ11" s="17" t="s">
        <v>78</v>
      </c>
      <c r="CR11" s="17" t="s">
        <v>78</v>
      </c>
      <c r="CS11" s="69" t="s">
        <v>78</v>
      </c>
      <c r="CT11" s="69" t="s">
        <v>78</v>
      </c>
      <c r="CU11" s="17" t="s">
        <v>78</v>
      </c>
      <c r="CV11" s="135" t="s">
        <v>78</v>
      </c>
      <c r="CW11" s="17" t="s">
        <v>78</v>
      </c>
      <c r="CX11" s="17" t="s">
        <v>78</v>
      </c>
      <c r="CY11" s="69" t="s">
        <v>78</v>
      </c>
      <c r="CZ11" s="135" t="s">
        <v>78</v>
      </c>
      <c r="DA11" s="17" t="s">
        <v>78</v>
      </c>
      <c r="DB11" s="17" t="s">
        <v>78</v>
      </c>
      <c r="DC11" s="17" t="s">
        <v>78</v>
      </c>
      <c r="DD11" s="17" t="s">
        <v>78</v>
      </c>
      <c r="DE11" s="17" t="s">
        <v>78</v>
      </c>
      <c r="DF11" s="17" t="s">
        <v>78</v>
      </c>
      <c r="DG11" s="17" t="s">
        <v>78</v>
      </c>
      <c r="DH11" s="69" t="s">
        <v>78</v>
      </c>
      <c r="DI11" s="69" t="s">
        <v>78</v>
      </c>
      <c r="DJ11" s="17" t="s">
        <v>78</v>
      </c>
      <c r="DK11" s="17" t="s">
        <v>78</v>
      </c>
      <c r="DL11" s="17" t="s">
        <v>78</v>
      </c>
      <c r="DM11" s="17" t="s">
        <v>78</v>
      </c>
      <c r="DN11" s="17" t="s">
        <v>78</v>
      </c>
      <c r="DO11" s="17" t="s">
        <v>78</v>
      </c>
      <c r="DP11" s="52" t="s">
        <v>78</v>
      </c>
    </row>
    <row r="12" spans="2:120" ht="16.5" x14ac:dyDescent="0.35">
      <c r="B12" s="30"/>
      <c r="C12" s="29"/>
      <c r="D12" s="31">
        <v>30501110</v>
      </c>
      <c r="E12" s="184" t="s">
        <v>116</v>
      </c>
      <c r="F12" s="189" t="s">
        <v>196</v>
      </c>
      <c r="G12" s="314" t="s">
        <v>194</v>
      </c>
      <c r="H12" s="17" t="s">
        <v>78</v>
      </c>
      <c r="I12" s="203">
        <v>2.41E-2</v>
      </c>
      <c r="J12" s="98" t="s">
        <v>78</v>
      </c>
      <c r="K12" s="238">
        <v>1.4E-5</v>
      </c>
      <c r="L12" s="115" t="s">
        <v>78</v>
      </c>
      <c r="M12" s="238">
        <v>9.9999999999999995E-7</v>
      </c>
      <c r="N12" s="238">
        <v>9.9999999999999995E-7</v>
      </c>
      <c r="O12" s="238">
        <v>1.9999999999999999E-6</v>
      </c>
      <c r="P12" s="98">
        <v>1E-4</v>
      </c>
      <c r="Q12" s="445" t="s">
        <v>78</v>
      </c>
      <c r="R12" s="238">
        <v>4.1999999999999998E-5</v>
      </c>
      <c r="S12" s="238">
        <v>3.0000000000000001E-5</v>
      </c>
      <c r="T12" s="60">
        <v>1.1999999999999999E-3</v>
      </c>
      <c r="U12" s="183" t="s">
        <v>78</v>
      </c>
      <c r="V12" s="115" t="s">
        <v>78</v>
      </c>
      <c r="W12" s="238">
        <v>1.7E-5</v>
      </c>
      <c r="X12" s="98">
        <v>8.0000000000000004E-4</v>
      </c>
      <c r="Y12" s="238">
        <v>9.9999999999999995E-7</v>
      </c>
      <c r="Z12" s="92">
        <v>9.1999999999999998E-2</v>
      </c>
      <c r="AA12" s="183" t="s">
        <v>78</v>
      </c>
      <c r="AB12" s="183" t="s">
        <v>78</v>
      </c>
      <c r="AC12" s="417">
        <v>1.2899999999999999E-4</v>
      </c>
      <c r="AD12" s="155" t="s">
        <v>78</v>
      </c>
      <c r="AE12" s="135" t="s">
        <v>78</v>
      </c>
      <c r="AF12" s="95" t="s">
        <v>78</v>
      </c>
      <c r="AG12" s="135" t="s">
        <v>78</v>
      </c>
      <c r="AH12" s="95" t="s">
        <v>78</v>
      </c>
      <c r="AI12" s="95" t="s">
        <v>78</v>
      </c>
      <c r="AJ12" s="95" t="s">
        <v>78</v>
      </c>
      <c r="AK12" s="135" t="s">
        <v>78</v>
      </c>
      <c r="AL12" s="95" t="s">
        <v>78</v>
      </c>
      <c r="AM12" s="95" t="s">
        <v>78</v>
      </c>
      <c r="AN12" s="95" t="s">
        <v>78</v>
      </c>
      <c r="AO12" s="95" t="s">
        <v>78</v>
      </c>
      <c r="AP12" s="135" t="s">
        <v>78</v>
      </c>
      <c r="AQ12" s="135" t="s">
        <v>78</v>
      </c>
      <c r="AR12" s="95" t="s">
        <v>78</v>
      </c>
      <c r="AS12" s="95" t="s">
        <v>78</v>
      </c>
      <c r="AT12" s="95" t="s">
        <v>78</v>
      </c>
      <c r="AU12" s="95" t="s">
        <v>78</v>
      </c>
      <c r="AV12" s="60">
        <v>2.0000000000000001E-4</v>
      </c>
      <c r="AW12" s="17" t="s">
        <v>78</v>
      </c>
      <c r="AX12" s="17" t="s">
        <v>78</v>
      </c>
      <c r="AY12" s="17" t="s">
        <v>78</v>
      </c>
      <c r="AZ12" s="69" t="s">
        <v>78</v>
      </c>
      <c r="BA12" s="17" t="s">
        <v>78</v>
      </c>
      <c r="BB12" s="17" t="s">
        <v>78</v>
      </c>
      <c r="BC12" s="69" t="s">
        <v>78</v>
      </c>
      <c r="BD12" s="69" t="s">
        <v>78</v>
      </c>
      <c r="BE12" s="17" t="s">
        <v>78</v>
      </c>
      <c r="BF12" s="17" t="s">
        <v>78</v>
      </c>
      <c r="BG12" s="17" t="s">
        <v>78</v>
      </c>
      <c r="BH12" s="17" t="s">
        <v>78</v>
      </c>
      <c r="BI12" s="17" t="s">
        <v>78</v>
      </c>
      <c r="BJ12" s="17" t="s">
        <v>78</v>
      </c>
      <c r="BK12" s="69" t="s">
        <v>78</v>
      </c>
      <c r="BL12" s="69" t="s">
        <v>78</v>
      </c>
      <c r="BM12" s="17" t="s">
        <v>78</v>
      </c>
      <c r="BN12" s="17" t="s">
        <v>78</v>
      </c>
      <c r="BO12" s="17" t="s">
        <v>78</v>
      </c>
      <c r="BP12" s="17" t="s">
        <v>78</v>
      </c>
      <c r="BQ12" s="17" t="s">
        <v>78</v>
      </c>
      <c r="BR12" s="17" t="s">
        <v>78</v>
      </c>
      <c r="BS12" s="17" t="s">
        <v>78</v>
      </c>
      <c r="BT12" s="17" t="s">
        <v>78</v>
      </c>
      <c r="BU12" s="17" t="s">
        <v>78</v>
      </c>
      <c r="BV12" s="17" t="s">
        <v>78</v>
      </c>
      <c r="BW12" s="17" t="s">
        <v>78</v>
      </c>
      <c r="BX12" s="17" t="s">
        <v>78</v>
      </c>
      <c r="BY12" s="17" t="s">
        <v>78</v>
      </c>
      <c r="BZ12" s="17" t="s">
        <v>78</v>
      </c>
      <c r="CA12" s="17" t="s">
        <v>78</v>
      </c>
      <c r="CB12" s="17" t="s">
        <v>78</v>
      </c>
      <c r="CC12" s="17" t="s">
        <v>78</v>
      </c>
      <c r="CD12" s="17" t="s">
        <v>78</v>
      </c>
      <c r="CE12" s="69" t="s">
        <v>78</v>
      </c>
      <c r="CF12" s="17" t="s">
        <v>78</v>
      </c>
      <c r="CG12" s="17" t="s">
        <v>78</v>
      </c>
      <c r="CH12" s="17" t="s">
        <v>78</v>
      </c>
      <c r="CI12" s="17" t="s">
        <v>78</v>
      </c>
      <c r="CJ12" s="69" t="s">
        <v>78</v>
      </c>
      <c r="CK12" s="17" t="s">
        <v>78</v>
      </c>
      <c r="CL12" s="17" t="s">
        <v>78</v>
      </c>
      <c r="CM12" s="17" t="s">
        <v>78</v>
      </c>
      <c r="CN12" s="17" t="s">
        <v>78</v>
      </c>
      <c r="CO12" s="17" t="s">
        <v>78</v>
      </c>
      <c r="CP12" s="17" t="s">
        <v>78</v>
      </c>
      <c r="CQ12" s="17" t="s">
        <v>78</v>
      </c>
      <c r="CR12" s="17" t="s">
        <v>78</v>
      </c>
      <c r="CS12" s="69" t="s">
        <v>78</v>
      </c>
      <c r="CT12" s="69" t="s">
        <v>78</v>
      </c>
      <c r="CU12" s="17" t="s">
        <v>78</v>
      </c>
      <c r="CV12" s="135" t="s">
        <v>78</v>
      </c>
      <c r="CW12" s="17" t="s">
        <v>78</v>
      </c>
      <c r="CX12" s="17" t="s">
        <v>78</v>
      </c>
      <c r="CY12" s="69" t="s">
        <v>78</v>
      </c>
      <c r="CZ12" s="135" t="s">
        <v>78</v>
      </c>
      <c r="DA12" s="17" t="s">
        <v>78</v>
      </c>
      <c r="DB12" s="17" t="s">
        <v>78</v>
      </c>
      <c r="DC12" s="17" t="s">
        <v>78</v>
      </c>
      <c r="DD12" s="17" t="s">
        <v>78</v>
      </c>
      <c r="DE12" s="17" t="s">
        <v>78</v>
      </c>
      <c r="DF12" s="17" t="s">
        <v>78</v>
      </c>
      <c r="DG12" s="17" t="s">
        <v>78</v>
      </c>
      <c r="DH12" s="69" t="s">
        <v>78</v>
      </c>
      <c r="DI12" s="69" t="s">
        <v>78</v>
      </c>
      <c r="DJ12" s="17" t="s">
        <v>78</v>
      </c>
      <c r="DK12" s="17" t="s">
        <v>78</v>
      </c>
      <c r="DL12" s="17" t="s">
        <v>78</v>
      </c>
      <c r="DM12" s="17" t="s">
        <v>78</v>
      </c>
      <c r="DN12" s="17" t="s">
        <v>78</v>
      </c>
      <c r="DO12" s="17" t="s">
        <v>78</v>
      </c>
      <c r="DP12" s="52" t="s">
        <v>78</v>
      </c>
    </row>
    <row r="13" spans="2:120" ht="16.5" x14ac:dyDescent="0.35">
      <c r="B13" s="30"/>
      <c r="C13" s="29"/>
      <c r="D13" s="31">
        <v>30501111</v>
      </c>
      <c r="E13" s="186" t="s">
        <v>117</v>
      </c>
      <c r="F13" s="189" t="s">
        <v>196</v>
      </c>
      <c r="G13" s="314" t="s">
        <v>194</v>
      </c>
      <c r="H13" s="17" t="s">
        <v>78</v>
      </c>
      <c r="I13" s="203">
        <v>2.41E-2</v>
      </c>
      <c r="J13" s="98" t="s">
        <v>78</v>
      </c>
      <c r="K13" s="238">
        <v>1.4E-5</v>
      </c>
      <c r="L13" s="115" t="s">
        <v>78</v>
      </c>
      <c r="M13" s="238">
        <v>9.9999999999999995E-7</v>
      </c>
      <c r="N13" s="238">
        <v>9.9999999999999995E-7</v>
      </c>
      <c r="O13" s="238">
        <v>1.9999999999999999E-6</v>
      </c>
      <c r="P13" s="98">
        <v>1E-4</v>
      </c>
      <c r="Q13" s="445" t="s">
        <v>78</v>
      </c>
      <c r="R13" s="238">
        <v>4.1999999999999998E-5</v>
      </c>
      <c r="S13" s="238">
        <v>3.0000000000000001E-5</v>
      </c>
      <c r="T13" s="60">
        <v>1.1999999999999999E-3</v>
      </c>
      <c r="U13" s="183" t="s">
        <v>78</v>
      </c>
      <c r="V13" s="115" t="s">
        <v>78</v>
      </c>
      <c r="W13" s="238">
        <v>1.7E-5</v>
      </c>
      <c r="X13" s="98">
        <v>8.0000000000000004E-4</v>
      </c>
      <c r="Y13" s="238">
        <v>9.9999999999999995E-7</v>
      </c>
      <c r="Z13" s="92">
        <v>9.1999999999999998E-2</v>
      </c>
      <c r="AA13" s="183" t="s">
        <v>78</v>
      </c>
      <c r="AB13" s="183" t="s">
        <v>78</v>
      </c>
      <c r="AC13" s="417">
        <v>1.2899999999999999E-4</v>
      </c>
      <c r="AD13" s="155" t="s">
        <v>78</v>
      </c>
      <c r="AE13" s="135" t="s">
        <v>78</v>
      </c>
      <c r="AF13" s="95" t="s">
        <v>78</v>
      </c>
      <c r="AG13" s="135" t="s">
        <v>78</v>
      </c>
      <c r="AH13" s="95" t="s">
        <v>78</v>
      </c>
      <c r="AI13" s="95" t="s">
        <v>78</v>
      </c>
      <c r="AJ13" s="95" t="s">
        <v>78</v>
      </c>
      <c r="AK13" s="135" t="s">
        <v>78</v>
      </c>
      <c r="AL13" s="95" t="s">
        <v>78</v>
      </c>
      <c r="AM13" s="95" t="s">
        <v>78</v>
      </c>
      <c r="AN13" s="95" t="s">
        <v>78</v>
      </c>
      <c r="AO13" s="95" t="s">
        <v>78</v>
      </c>
      <c r="AP13" s="135" t="s">
        <v>78</v>
      </c>
      <c r="AQ13" s="135" t="s">
        <v>78</v>
      </c>
      <c r="AR13" s="95" t="s">
        <v>78</v>
      </c>
      <c r="AS13" s="95" t="s">
        <v>78</v>
      </c>
      <c r="AT13" s="95" t="s">
        <v>78</v>
      </c>
      <c r="AU13" s="95" t="s">
        <v>78</v>
      </c>
      <c r="AV13" s="60">
        <v>2.0000000000000001E-4</v>
      </c>
      <c r="AW13" s="17" t="s">
        <v>78</v>
      </c>
      <c r="AX13" s="17" t="s">
        <v>78</v>
      </c>
      <c r="AY13" s="17" t="s">
        <v>78</v>
      </c>
      <c r="AZ13" s="69" t="s">
        <v>78</v>
      </c>
      <c r="BA13" s="17" t="s">
        <v>78</v>
      </c>
      <c r="BB13" s="17" t="s">
        <v>78</v>
      </c>
      <c r="BC13" s="69" t="s">
        <v>78</v>
      </c>
      <c r="BD13" s="69" t="s">
        <v>78</v>
      </c>
      <c r="BE13" s="17" t="s">
        <v>78</v>
      </c>
      <c r="BF13" s="17" t="s">
        <v>78</v>
      </c>
      <c r="BG13" s="17" t="s">
        <v>78</v>
      </c>
      <c r="BH13" s="17" t="s">
        <v>78</v>
      </c>
      <c r="BI13" s="17" t="s">
        <v>78</v>
      </c>
      <c r="BJ13" s="17" t="s">
        <v>78</v>
      </c>
      <c r="BK13" s="69" t="s">
        <v>78</v>
      </c>
      <c r="BL13" s="69" t="s">
        <v>78</v>
      </c>
      <c r="BM13" s="17" t="s">
        <v>78</v>
      </c>
      <c r="BN13" s="17" t="s">
        <v>78</v>
      </c>
      <c r="BO13" s="17" t="s">
        <v>78</v>
      </c>
      <c r="BP13" s="17" t="s">
        <v>78</v>
      </c>
      <c r="BQ13" s="17" t="s">
        <v>78</v>
      </c>
      <c r="BR13" s="17" t="s">
        <v>78</v>
      </c>
      <c r="BS13" s="17" t="s">
        <v>78</v>
      </c>
      <c r="BT13" s="17" t="s">
        <v>78</v>
      </c>
      <c r="BU13" s="17" t="s">
        <v>78</v>
      </c>
      <c r="BV13" s="17" t="s">
        <v>78</v>
      </c>
      <c r="BW13" s="17" t="s">
        <v>78</v>
      </c>
      <c r="BX13" s="17" t="s">
        <v>78</v>
      </c>
      <c r="BY13" s="17" t="s">
        <v>78</v>
      </c>
      <c r="BZ13" s="17" t="s">
        <v>78</v>
      </c>
      <c r="CA13" s="17" t="s">
        <v>78</v>
      </c>
      <c r="CB13" s="17" t="s">
        <v>78</v>
      </c>
      <c r="CC13" s="17" t="s">
        <v>78</v>
      </c>
      <c r="CD13" s="17" t="s">
        <v>78</v>
      </c>
      <c r="CE13" s="69" t="s">
        <v>78</v>
      </c>
      <c r="CF13" s="17" t="s">
        <v>78</v>
      </c>
      <c r="CG13" s="17" t="s">
        <v>78</v>
      </c>
      <c r="CH13" s="17" t="s">
        <v>78</v>
      </c>
      <c r="CI13" s="17" t="s">
        <v>78</v>
      </c>
      <c r="CJ13" s="69" t="s">
        <v>78</v>
      </c>
      <c r="CK13" s="17" t="s">
        <v>78</v>
      </c>
      <c r="CL13" s="17" t="s">
        <v>78</v>
      </c>
      <c r="CM13" s="17" t="s">
        <v>78</v>
      </c>
      <c r="CN13" s="17" t="s">
        <v>78</v>
      </c>
      <c r="CO13" s="17" t="s">
        <v>78</v>
      </c>
      <c r="CP13" s="17" t="s">
        <v>78</v>
      </c>
      <c r="CQ13" s="17" t="s">
        <v>78</v>
      </c>
      <c r="CR13" s="17" t="s">
        <v>78</v>
      </c>
      <c r="CS13" s="69" t="s">
        <v>78</v>
      </c>
      <c r="CT13" s="69" t="s">
        <v>78</v>
      </c>
      <c r="CU13" s="17" t="s">
        <v>78</v>
      </c>
      <c r="CV13" s="135" t="s">
        <v>78</v>
      </c>
      <c r="CW13" s="17" t="s">
        <v>78</v>
      </c>
      <c r="CX13" s="17" t="s">
        <v>78</v>
      </c>
      <c r="CY13" s="69" t="s">
        <v>78</v>
      </c>
      <c r="CZ13" s="135" t="s">
        <v>78</v>
      </c>
      <c r="DA13" s="17" t="s">
        <v>78</v>
      </c>
      <c r="DB13" s="17" t="s">
        <v>78</v>
      </c>
      <c r="DC13" s="17" t="s">
        <v>78</v>
      </c>
      <c r="DD13" s="17" t="s">
        <v>78</v>
      </c>
      <c r="DE13" s="17" t="s">
        <v>78</v>
      </c>
      <c r="DF13" s="17" t="s">
        <v>78</v>
      </c>
      <c r="DG13" s="17" t="s">
        <v>78</v>
      </c>
      <c r="DH13" s="69" t="s">
        <v>78</v>
      </c>
      <c r="DI13" s="69" t="s">
        <v>78</v>
      </c>
      <c r="DJ13" s="17" t="s">
        <v>78</v>
      </c>
      <c r="DK13" s="17" t="s">
        <v>78</v>
      </c>
      <c r="DL13" s="17" t="s">
        <v>78</v>
      </c>
      <c r="DM13" s="17" t="s">
        <v>78</v>
      </c>
      <c r="DN13" s="17" t="s">
        <v>78</v>
      </c>
      <c r="DO13" s="17" t="s">
        <v>78</v>
      </c>
      <c r="DP13" s="52" t="s">
        <v>78</v>
      </c>
    </row>
    <row r="14" spans="2:120" ht="16.5" x14ac:dyDescent="0.35">
      <c r="B14" s="30"/>
      <c r="C14" s="29"/>
      <c r="D14" s="31">
        <v>30501114</v>
      </c>
      <c r="E14" s="184" t="s">
        <v>118</v>
      </c>
      <c r="F14" s="189" t="s">
        <v>196</v>
      </c>
      <c r="G14" s="314" t="s">
        <v>194</v>
      </c>
      <c r="H14" s="17" t="s">
        <v>78</v>
      </c>
      <c r="I14" s="203">
        <v>2.41E-2</v>
      </c>
      <c r="J14" s="98" t="s">
        <v>78</v>
      </c>
      <c r="K14" s="238">
        <v>1.4E-5</v>
      </c>
      <c r="L14" s="115" t="s">
        <v>78</v>
      </c>
      <c r="M14" s="238">
        <v>9.9999999999999995E-7</v>
      </c>
      <c r="N14" s="238">
        <v>9.9999999999999995E-7</v>
      </c>
      <c r="O14" s="238">
        <v>1.9999999999999999E-6</v>
      </c>
      <c r="P14" s="98">
        <v>1E-4</v>
      </c>
      <c r="Q14" s="445" t="s">
        <v>78</v>
      </c>
      <c r="R14" s="238">
        <v>4.1999999999999998E-5</v>
      </c>
      <c r="S14" s="238">
        <v>3.0000000000000001E-5</v>
      </c>
      <c r="T14" s="60">
        <v>1.1999999999999999E-3</v>
      </c>
      <c r="U14" s="183" t="s">
        <v>78</v>
      </c>
      <c r="V14" s="115" t="s">
        <v>78</v>
      </c>
      <c r="W14" s="238">
        <v>1.7E-5</v>
      </c>
      <c r="X14" s="98">
        <v>8.0000000000000004E-4</v>
      </c>
      <c r="Y14" s="238">
        <v>9.9999999999999995E-7</v>
      </c>
      <c r="Z14" s="92">
        <v>9.1999999999999998E-2</v>
      </c>
      <c r="AA14" s="183" t="s">
        <v>78</v>
      </c>
      <c r="AB14" s="183" t="s">
        <v>78</v>
      </c>
      <c r="AC14" s="417">
        <v>1.2899999999999999E-4</v>
      </c>
      <c r="AD14" s="155" t="s">
        <v>78</v>
      </c>
      <c r="AE14" s="135" t="s">
        <v>78</v>
      </c>
      <c r="AF14" s="95" t="s">
        <v>78</v>
      </c>
      <c r="AG14" s="135" t="s">
        <v>78</v>
      </c>
      <c r="AH14" s="95" t="s">
        <v>78</v>
      </c>
      <c r="AI14" s="95" t="s">
        <v>78</v>
      </c>
      <c r="AJ14" s="95" t="s">
        <v>78</v>
      </c>
      <c r="AK14" s="135" t="s">
        <v>78</v>
      </c>
      <c r="AL14" s="95" t="s">
        <v>78</v>
      </c>
      <c r="AM14" s="95" t="s">
        <v>78</v>
      </c>
      <c r="AN14" s="95" t="s">
        <v>78</v>
      </c>
      <c r="AO14" s="95" t="s">
        <v>78</v>
      </c>
      <c r="AP14" s="135" t="s">
        <v>78</v>
      </c>
      <c r="AQ14" s="135" t="s">
        <v>78</v>
      </c>
      <c r="AR14" s="95" t="s">
        <v>78</v>
      </c>
      <c r="AS14" s="95" t="s">
        <v>78</v>
      </c>
      <c r="AT14" s="95" t="s">
        <v>78</v>
      </c>
      <c r="AU14" s="95" t="s">
        <v>78</v>
      </c>
      <c r="AV14" s="60">
        <v>2.0000000000000001E-4</v>
      </c>
      <c r="AW14" s="17" t="s">
        <v>78</v>
      </c>
      <c r="AX14" s="17" t="s">
        <v>78</v>
      </c>
      <c r="AY14" s="17" t="s">
        <v>78</v>
      </c>
      <c r="AZ14" s="69" t="s">
        <v>78</v>
      </c>
      <c r="BA14" s="17" t="s">
        <v>78</v>
      </c>
      <c r="BB14" s="17" t="s">
        <v>78</v>
      </c>
      <c r="BC14" s="69" t="s">
        <v>78</v>
      </c>
      <c r="BD14" s="69" t="s">
        <v>78</v>
      </c>
      <c r="BE14" s="17" t="s">
        <v>78</v>
      </c>
      <c r="BF14" s="17" t="s">
        <v>78</v>
      </c>
      <c r="BG14" s="17" t="s">
        <v>78</v>
      </c>
      <c r="BH14" s="17" t="s">
        <v>78</v>
      </c>
      <c r="BI14" s="17" t="s">
        <v>78</v>
      </c>
      <c r="BJ14" s="17" t="s">
        <v>78</v>
      </c>
      <c r="BK14" s="69" t="s">
        <v>78</v>
      </c>
      <c r="BL14" s="69" t="s">
        <v>78</v>
      </c>
      <c r="BM14" s="17" t="s">
        <v>78</v>
      </c>
      <c r="BN14" s="17" t="s">
        <v>78</v>
      </c>
      <c r="BO14" s="17" t="s">
        <v>78</v>
      </c>
      <c r="BP14" s="17" t="s">
        <v>78</v>
      </c>
      <c r="BQ14" s="17" t="s">
        <v>78</v>
      </c>
      <c r="BR14" s="17" t="s">
        <v>78</v>
      </c>
      <c r="BS14" s="17" t="s">
        <v>78</v>
      </c>
      <c r="BT14" s="17" t="s">
        <v>78</v>
      </c>
      <c r="BU14" s="17" t="s">
        <v>78</v>
      </c>
      <c r="BV14" s="17" t="s">
        <v>78</v>
      </c>
      <c r="BW14" s="17" t="s">
        <v>78</v>
      </c>
      <c r="BX14" s="17" t="s">
        <v>78</v>
      </c>
      <c r="BY14" s="17" t="s">
        <v>78</v>
      </c>
      <c r="BZ14" s="17" t="s">
        <v>78</v>
      </c>
      <c r="CA14" s="17" t="s">
        <v>78</v>
      </c>
      <c r="CB14" s="17" t="s">
        <v>78</v>
      </c>
      <c r="CC14" s="17" t="s">
        <v>78</v>
      </c>
      <c r="CD14" s="17" t="s">
        <v>78</v>
      </c>
      <c r="CE14" s="69" t="s">
        <v>78</v>
      </c>
      <c r="CF14" s="17" t="s">
        <v>78</v>
      </c>
      <c r="CG14" s="17" t="s">
        <v>78</v>
      </c>
      <c r="CH14" s="17" t="s">
        <v>78</v>
      </c>
      <c r="CI14" s="17" t="s">
        <v>78</v>
      </c>
      <c r="CJ14" s="69" t="s">
        <v>78</v>
      </c>
      <c r="CK14" s="17" t="s">
        <v>78</v>
      </c>
      <c r="CL14" s="17" t="s">
        <v>78</v>
      </c>
      <c r="CM14" s="17" t="s">
        <v>78</v>
      </c>
      <c r="CN14" s="17" t="s">
        <v>78</v>
      </c>
      <c r="CO14" s="17" t="s">
        <v>78</v>
      </c>
      <c r="CP14" s="17" t="s">
        <v>78</v>
      </c>
      <c r="CQ14" s="17" t="s">
        <v>78</v>
      </c>
      <c r="CR14" s="17" t="s">
        <v>78</v>
      </c>
      <c r="CS14" s="69" t="s">
        <v>78</v>
      </c>
      <c r="CT14" s="69" t="s">
        <v>78</v>
      </c>
      <c r="CU14" s="17" t="s">
        <v>78</v>
      </c>
      <c r="CV14" s="135" t="s">
        <v>78</v>
      </c>
      <c r="CW14" s="17" t="s">
        <v>78</v>
      </c>
      <c r="CX14" s="17" t="s">
        <v>78</v>
      </c>
      <c r="CY14" s="69" t="s">
        <v>78</v>
      </c>
      <c r="CZ14" s="135" t="s">
        <v>78</v>
      </c>
      <c r="DA14" s="17" t="s">
        <v>78</v>
      </c>
      <c r="DB14" s="17" t="s">
        <v>78</v>
      </c>
      <c r="DC14" s="17" t="s">
        <v>78</v>
      </c>
      <c r="DD14" s="17" t="s">
        <v>78</v>
      </c>
      <c r="DE14" s="17" t="s">
        <v>78</v>
      </c>
      <c r="DF14" s="17" t="s">
        <v>78</v>
      </c>
      <c r="DG14" s="17" t="s">
        <v>78</v>
      </c>
      <c r="DH14" s="69" t="s">
        <v>78</v>
      </c>
      <c r="DI14" s="69" t="s">
        <v>78</v>
      </c>
      <c r="DJ14" s="17" t="s">
        <v>78</v>
      </c>
      <c r="DK14" s="17" t="s">
        <v>78</v>
      </c>
      <c r="DL14" s="17" t="s">
        <v>78</v>
      </c>
      <c r="DM14" s="17" t="s">
        <v>78</v>
      </c>
      <c r="DN14" s="17" t="s">
        <v>78</v>
      </c>
      <c r="DO14" s="17" t="s">
        <v>78</v>
      </c>
      <c r="DP14" s="52" t="s">
        <v>78</v>
      </c>
    </row>
    <row r="15" spans="2:120" ht="16.5" x14ac:dyDescent="0.35">
      <c r="B15" s="30"/>
      <c r="C15" s="29"/>
      <c r="D15" s="31">
        <v>30501115</v>
      </c>
      <c r="E15" s="186" t="s">
        <v>119</v>
      </c>
      <c r="F15" s="189" t="s">
        <v>328</v>
      </c>
      <c r="G15" s="314" t="s">
        <v>194</v>
      </c>
      <c r="H15" s="17" t="s">
        <v>78</v>
      </c>
      <c r="I15" s="203">
        <v>2.41E-2</v>
      </c>
      <c r="J15" s="98" t="s">
        <v>78</v>
      </c>
      <c r="K15" s="238">
        <v>1.4E-5</v>
      </c>
      <c r="L15" s="115" t="s">
        <v>78</v>
      </c>
      <c r="M15" s="238">
        <v>9.9999999999999995E-7</v>
      </c>
      <c r="N15" s="238">
        <v>9.9999999999999995E-7</v>
      </c>
      <c r="O15" s="238">
        <v>1.9999999999999999E-6</v>
      </c>
      <c r="P15" s="98">
        <v>1E-4</v>
      </c>
      <c r="Q15" s="445" t="s">
        <v>78</v>
      </c>
      <c r="R15" s="238">
        <v>4.1999999999999998E-5</v>
      </c>
      <c r="S15" s="238">
        <v>3.0000000000000001E-5</v>
      </c>
      <c r="T15" s="60">
        <v>1.1999999999999999E-3</v>
      </c>
      <c r="U15" s="183" t="s">
        <v>78</v>
      </c>
      <c r="V15" s="115" t="s">
        <v>78</v>
      </c>
      <c r="W15" s="238">
        <v>1.7E-5</v>
      </c>
      <c r="X15" s="98">
        <v>8.0000000000000004E-4</v>
      </c>
      <c r="Y15" s="238">
        <v>9.9999999999999995E-7</v>
      </c>
      <c r="Z15" s="60">
        <f>6.25/100</f>
        <v>6.25E-2</v>
      </c>
      <c r="AA15" s="183" t="s">
        <v>78</v>
      </c>
      <c r="AB15" s="183" t="s">
        <v>78</v>
      </c>
      <c r="AC15" s="417">
        <v>1.2899999999999999E-4</v>
      </c>
      <c r="AD15" s="155" t="s">
        <v>78</v>
      </c>
      <c r="AE15" s="135" t="s">
        <v>78</v>
      </c>
      <c r="AF15" s="95" t="s">
        <v>78</v>
      </c>
      <c r="AG15" s="135" t="s">
        <v>78</v>
      </c>
      <c r="AH15" s="95" t="s">
        <v>78</v>
      </c>
      <c r="AI15" s="95" t="s">
        <v>78</v>
      </c>
      <c r="AJ15" s="95" t="s">
        <v>78</v>
      </c>
      <c r="AK15" s="135" t="s">
        <v>78</v>
      </c>
      <c r="AL15" s="95" t="s">
        <v>78</v>
      </c>
      <c r="AM15" s="95" t="s">
        <v>78</v>
      </c>
      <c r="AN15" s="95" t="s">
        <v>78</v>
      </c>
      <c r="AO15" s="95" t="s">
        <v>78</v>
      </c>
      <c r="AP15" s="135" t="s">
        <v>78</v>
      </c>
      <c r="AQ15" s="135" t="s">
        <v>78</v>
      </c>
      <c r="AR15" s="95" t="s">
        <v>78</v>
      </c>
      <c r="AS15" s="95" t="s">
        <v>78</v>
      </c>
      <c r="AT15" s="95" t="s">
        <v>78</v>
      </c>
      <c r="AU15" s="95" t="s">
        <v>78</v>
      </c>
      <c r="AV15" s="60">
        <v>2.0000000000000001E-4</v>
      </c>
      <c r="AW15" s="17" t="s">
        <v>78</v>
      </c>
      <c r="AX15" s="17" t="s">
        <v>78</v>
      </c>
      <c r="AY15" s="17" t="s">
        <v>78</v>
      </c>
      <c r="AZ15" s="69" t="s">
        <v>78</v>
      </c>
      <c r="BA15" s="17" t="s">
        <v>78</v>
      </c>
      <c r="BB15" s="17" t="s">
        <v>78</v>
      </c>
      <c r="BC15" s="69" t="s">
        <v>78</v>
      </c>
      <c r="BD15" s="69" t="s">
        <v>78</v>
      </c>
      <c r="BE15" s="17" t="s">
        <v>78</v>
      </c>
      <c r="BF15" s="17" t="s">
        <v>78</v>
      </c>
      <c r="BG15" s="17" t="s">
        <v>78</v>
      </c>
      <c r="BH15" s="17" t="s">
        <v>78</v>
      </c>
      <c r="BI15" s="17" t="s">
        <v>78</v>
      </c>
      <c r="BJ15" s="17" t="s">
        <v>78</v>
      </c>
      <c r="BK15" s="69" t="s">
        <v>78</v>
      </c>
      <c r="BL15" s="69" t="s">
        <v>78</v>
      </c>
      <c r="BM15" s="17" t="s">
        <v>78</v>
      </c>
      <c r="BN15" s="17" t="s">
        <v>78</v>
      </c>
      <c r="BO15" s="17" t="s">
        <v>78</v>
      </c>
      <c r="BP15" s="17" t="s">
        <v>78</v>
      </c>
      <c r="BQ15" s="17" t="s">
        <v>78</v>
      </c>
      <c r="BR15" s="17" t="s">
        <v>78</v>
      </c>
      <c r="BS15" s="17" t="s">
        <v>78</v>
      </c>
      <c r="BT15" s="17" t="s">
        <v>78</v>
      </c>
      <c r="BU15" s="17" t="s">
        <v>78</v>
      </c>
      <c r="BV15" s="17" t="s">
        <v>78</v>
      </c>
      <c r="BW15" s="17" t="s">
        <v>78</v>
      </c>
      <c r="BX15" s="17" t="s">
        <v>78</v>
      </c>
      <c r="BY15" s="17" t="s">
        <v>78</v>
      </c>
      <c r="BZ15" s="17" t="s">
        <v>78</v>
      </c>
      <c r="CA15" s="17" t="s">
        <v>78</v>
      </c>
      <c r="CB15" s="17" t="s">
        <v>78</v>
      </c>
      <c r="CC15" s="17" t="s">
        <v>78</v>
      </c>
      <c r="CD15" s="17" t="s">
        <v>78</v>
      </c>
      <c r="CE15" s="69" t="s">
        <v>78</v>
      </c>
      <c r="CF15" s="17" t="s">
        <v>78</v>
      </c>
      <c r="CG15" s="17" t="s">
        <v>78</v>
      </c>
      <c r="CH15" s="17" t="s">
        <v>78</v>
      </c>
      <c r="CI15" s="17" t="s">
        <v>78</v>
      </c>
      <c r="CJ15" s="69" t="s">
        <v>78</v>
      </c>
      <c r="CK15" s="17" t="s">
        <v>78</v>
      </c>
      <c r="CL15" s="17" t="s">
        <v>78</v>
      </c>
      <c r="CM15" s="17" t="s">
        <v>78</v>
      </c>
      <c r="CN15" s="17" t="s">
        <v>78</v>
      </c>
      <c r="CO15" s="17" t="s">
        <v>78</v>
      </c>
      <c r="CP15" s="17" t="s">
        <v>78</v>
      </c>
      <c r="CQ15" s="17" t="s">
        <v>78</v>
      </c>
      <c r="CR15" s="17" t="s">
        <v>78</v>
      </c>
      <c r="CS15" s="69" t="s">
        <v>78</v>
      </c>
      <c r="CT15" s="69" t="s">
        <v>78</v>
      </c>
      <c r="CU15" s="17" t="s">
        <v>78</v>
      </c>
      <c r="CV15" s="135" t="s">
        <v>78</v>
      </c>
      <c r="CW15" s="17" t="s">
        <v>78</v>
      </c>
      <c r="CX15" s="17" t="s">
        <v>78</v>
      </c>
      <c r="CY15" s="69" t="s">
        <v>78</v>
      </c>
      <c r="CZ15" s="135" t="s">
        <v>78</v>
      </c>
      <c r="DA15" s="17" t="s">
        <v>78</v>
      </c>
      <c r="DB15" s="17" t="s">
        <v>78</v>
      </c>
      <c r="DC15" s="17" t="s">
        <v>78</v>
      </c>
      <c r="DD15" s="17" t="s">
        <v>78</v>
      </c>
      <c r="DE15" s="17" t="s">
        <v>78</v>
      </c>
      <c r="DF15" s="17" t="s">
        <v>78</v>
      </c>
      <c r="DG15" s="17" t="s">
        <v>78</v>
      </c>
      <c r="DH15" s="69" t="s">
        <v>78</v>
      </c>
      <c r="DI15" s="69" t="s">
        <v>78</v>
      </c>
      <c r="DJ15" s="17" t="s">
        <v>78</v>
      </c>
      <c r="DK15" s="17" t="s">
        <v>78</v>
      </c>
      <c r="DL15" s="17" t="s">
        <v>78</v>
      </c>
      <c r="DM15" s="17" t="s">
        <v>78</v>
      </c>
      <c r="DN15" s="17" t="s">
        <v>78</v>
      </c>
      <c r="DO15" s="17" t="s">
        <v>78</v>
      </c>
      <c r="DP15" s="52" t="s">
        <v>78</v>
      </c>
    </row>
    <row r="16" spans="2:120" ht="16.5" x14ac:dyDescent="0.35">
      <c r="B16" s="30"/>
      <c r="C16" s="29"/>
      <c r="D16" s="31"/>
      <c r="E16" s="186" t="s">
        <v>308</v>
      </c>
      <c r="F16" s="189" t="s">
        <v>429</v>
      </c>
      <c r="G16" s="314" t="s">
        <v>194</v>
      </c>
      <c r="H16" s="17" t="s">
        <v>78</v>
      </c>
      <c r="I16" s="257">
        <f>15000/10^6</f>
        <v>1.4999999999999999E-2</v>
      </c>
      <c r="J16" s="98" t="s">
        <v>78</v>
      </c>
      <c r="K16" s="238">
        <f>21/10^6</f>
        <v>2.0999999999999999E-5</v>
      </c>
      <c r="L16" s="135">
        <f>145/10^6</f>
        <v>1.45E-4</v>
      </c>
      <c r="M16" s="238">
        <f>1/10^6</f>
        <v>9.9999999999999995E-7</v>
      </c>
      <c r="N16" s="238">
        <f>1/10^6</f>
        <v>9.9999999999999995E-7</v>
      </c>
      <c r="O16" s="238">
        <f>0.5%*P16</f>
        <v>1.2500000000000002E-7</v>
      </c>
      <c r="P16" s="237">
        <f>25/10^6</f>
        <v>2.5000000000000001E-5</v>
      </c>
      <c r="Q16" s="445" t="s">
        <v>78</v>
      </c>
      <c r="R16" s="238">
        <f>40/10^6</f>
        <v>4.0000000000000003E-5</v>
      </c>
      <c r="S16" s="238">
        <f>30/10^6</f>
        <v>3.0000000000000001E-5</v>
      </c>
      <c r="T16" s="23">
        <f>490/10^6</f>
        <v>4.8999999999999998E-4</v>
      </c>
      <c r="U16" s="183" t="s">
        <v>78</v>
      </c>
      <c r="V16" s="115" t="s">
        <v>78</v>
      </c>
      <c r="W16" s="238">
        <f>19/10^6</f>
        <v>1.9000000000000001E-5</v>
      </c>
      <c r="X16" s="98" t="s">
        <v>78</v>
      </c>
      <c r="Y16" s="238">
        <f>1/10^6</f>
        <v>9.9999999999999995E-7</v>
      </c>
      <c r="Z16" s="408">
        <f>7950/10^6</f>
        <v>7.9500000000000005E-3</v>
      </c>
      <c r="AA16" s="183" t="s">
        <v>78</v>
      </c>
      <c r="AB16" s="183" t="s">
        <v>78</v>
      </c>
      <c r="AC16" s="417">
        <f>112/10^6</f>
        <v>1.12E-4</v>
      </c>
      <c r="AD16" s="155" t="s">
        <v>78</v>
      </c>
      <c r="AE16" s="135" t="s">
        <v>78</v>
      </c>
      <c r="AF16" s="95" t="s">
        <v>78</v>
      </c>
      <c r="AG16" s="135" t="s">
        <v>78</v>
      </c>
      <c r="AH16" s="95" t="s">
        <v>78</v>
      </c>
      <c r="AI16" s="95" t="s">
        <v>78</v>
      </c>
      <c r="AJ16" s="95" t="s">
        <v>78</v>
      </c>
      <c r="AK16" s="135" t="s">
        <v>78</v>
      </c>
      <c r="AL16" s="95" t="s">
        <v>78</v>
      </c>
      <c r="AM16" s="95" t="s">
        <v>78</v>
      </c>
      <c r="AN16" s="95" t="s">
        <v>78</v>
      </c>
      <c r="AO16" s="95" t="s">
        <v>78</v>
      </c>
      <c r="AP16" s="135" t="s">
        <v>78</v>
      </c>
      <c r="AQ16" s="135" t="s">
        <v>78</v>
      </c>
      <c r="AR16" s="95" t="s">
        <v>78</v>
      </c>
      <c r="AS16" s="95" t="s">
        <v>78</v>
      </c>
      <c r="AT16" s="95" t="s">
        <v>78</v>
      </c>
      <c r="AU16" s="95" t="s">
        <v>78</v>
      </c>
      <c r="AV16" s="60" t="s">
        <v>78</v>
      </c>
      <c r="AW16" s="17" t="s">
        <v>78</v>
      </c>
      <c r="AX16" s="17" t="s">
        <v>78</v>
      </c>
      <c r="AY16" s="17" t="s">
        <v>78</v>
      </c>
      <c r="AZ16" s="69" t="s">
        <v>78</v>
      </c>
      <c r="BA16" s="17" t="s">
        <v>78</v>
      </c>
      <c r="BB16" s="17" t="s">
        <v>78</v>
      </c>
      <c r="BC16" s="69" t="s">
        <v>78</v>
      </c>
      <c r="BD16" s="69" t="s">
        <v>78</v>
      </c>
      <c r="BE16" s="17" t="s">
        <v>78</v>
      </c>
      <c r="BF16" s="17" t="s">
        <v>78</v>
      </c>
      <c r="BG16" s="17" t="s">
        <v>78</v>
      </c>
      <c r="BH16" s="17" t="s">
        <v>78</v>
      </c>
      <c r="BI16" s="17" t="s">
        <v>78</v>
      </c>
      <c r="BJ16" s="17" t="s">
        <v>78</v>
      </c>
      <c r="BK16" s="69" t="s">
        <v>78</v>
      </c>
      <c r="BL16" s="69" t="s">
        <v>78</v>
      </c>
      <c r="BM16" s="17" t="s">
        <v>78</v>
      </c>
      <c r="BN16" s="17" t="s">
        <v>78</v>
      </c>
      <c r="BO16" s="17" t="s">
        <v>78</v>
      </c>
      <c r="BP16" s="17" t="s">
        <v>78</v>
      </c>
      <c r="BQ16" s="17" t="s">
        <v>78</v>
      </c>
      <c r="BR16" s="17" t="s">
        <v>78</v>
      </c>
      <c r="BS16" s="17" t="s">
        <v>78</v>
      </c>
      <c r="BT16" s="17" t="s">
        <v>78</v>
      </c>
      <c r="BU16" s="17" t="s">
        <v>78</v>
      </c>
      <c r="BV16" s="17" t="s">
        <v>78</v>
      </c>
      <c r="BW16" s="17" t="s">
        <v>78</v>
      </c>
      <c r="BX16" s="17" t="s">
        <v>78</v>
      </c>
      <c r="BY16" s="17" t="s">
        <v>78</v>
      </c>
      <c r="BZ16" s="17" t="s">
        <v>78</v>
      </c>
      <c r="CA16" s="17" t="s">
        <v>78</v>
      </c>
      <c r="CB16" s="17" t="s">
        <v>78</v>
      </c>
      <c r="CC16" s="17" t="s">
        <v>78</v>
      </c>
      <c r="CD16" s="17" t="s">
        <v>78</v>
      </c>
      <c r="CE16" s="69" t="s">
        <v>78</v>
      </c>
      <c r="CF16" s="17" t="s">
        <v>78</v>
      </c>
      <c r="CG16" s="17" t="s">
        <v>78</v>
      </c>
      <c r="CH16" s="17" t="s">
        <v>78</v>
      </c>
      <c r="CI16" s="17" t="s">
        <v>78</v>
      </c>
      <c r="CJ16" s="69" t="s">
        <v>78</v>
      </c>
      <c r="CK16" s="17" t="s">
        <v>78</v>
      </c>
      <c r="CL16" s="17" t="s">
        <v>78</v>
      </c>
      <c r="CM16" s="17" t="s">
        <v>78</v>
      </c>
      <c r="CN16" s="17" t="s">
        <v>78</v>
      </c>
      <c r="CO16" s="17" t="s">
        <v>78</v>
      </c>
      <c r="CP16" s="17" t="s">
        <v>78</v>
      </c>
      <c r="CQ16" s="17" t="s">
        <v>78</v>
      </c>
      <c r="CR16" s="17" t="s">
        <v>78</v>
      </c>
      <c r="CS16" s="69" t="s">
        <v>78</v>
      </c>
      <c r="CT16" s="69" t="s">
        <v>78</v>
      </c>
      <c r="CU16" s="17" t="s">
        <v>78</v>
      </c>
      <c r="CV16" s="135" t="s">
        <v>78</v>
      </c>
      <c r="CW16" s="17" t="s">
        <v>78</v>
      </c>
      <c r="CX16" s="17" t="s">
        <v>78</v>
      </c>
      <c r="CY16" s="69" t="s">
        <v>78</v>
      </c>
      <c r="CZ16" s="135" t="s">
        <v>78</v>
      </c>
      <c r="DA16" s="17" t="s">
        <v>78</v>
      </c>
      <c r="DB16" s="17" t="s">
        <v>78</v>
      </c>
      <c r="DC16" s="17" t="s">
        <v>78</v>
      </c>
      <c r="DD16" s="17" t="s">
        <v>78</v>
      </c>
      <c r="DE16" s="17" t="s">
        <v>78</v>
      </c>
      <c r="DF16" s="17" t="s">
        <v>78</v>
      </c>
      <c r="DG16" s="17" t="s">
        <v>78</v>
      </c>
      <c r="DH16" s="69" t="s">
        <v>78</v>
      </c>
      <c r="DI16" s="69" t="s">
        <v>78</v>
      </c>
      <c r="DJ16" s="17" t="s">
        <v>78</v>
      </c>
      <c r="DK16" s="17" t="s">
        <v>78</v>
      </c>
      <c r="DL16" s="17" t="s">
        <v>78</v>
      </c>
      <c r="DM16" s="17" t="s">
        <v>78</v>
      </c>
      <c r="DN16" s="17" t="s">
        <v>78</v>
      </c>
      <c r="DO16" s="17" t="s">
        <v>78</v>
      </c>
      <c r="DP16" s="52" t="s">
        <v>78</v>
      </c>
    </row>
    <row r="17" spans="2:122" s="428" customFormat="1" ht="16.5" x14ac:dyDescent="0.35">
      <c r="B17" s="414"/>
      <c r="C17" s="415"/>
      <c r="D17" s="484"/>
      <c r="E17" s="186" t="s">
        <v>379</v>
      </c>
      <c r="F17" s="359" t="s">
        <v>430</v>
      </c>
      <c r="G17" s="421" t="s">
        <v>194</v>
      </c>
      <c r="H17" s="17" t="s">
        <v>78</v>
      </c>
      <c r="I17" s="544">
        <v>1.472E-2</v>
      </c>
      <c r="J17" s="423" t="s">
        <v>78</v>
      </c>
      <c r="K17" s="424">
        <v>2.0000000000000002E-5</v>
      </c>
      <c r="L17" s="423" t="s">
        <v>78</v>
      </c>
      <c r="M17" s="424">
        <v>9.9999999999999995E-7</v>
      </c>
      <c r="N17" s="424">
        <v>9.9999999999999995E-7</v>
      </c>
      <c r="O17" s="424">
        <v>5.0000000000000004E-6</v>
      </c>
      <c r="P17" s="485">
        <f>0.000053+O17</f>
        <v>5.8E-5</v>
      </c>
      <c r="Q17" s="448" t="s">
        <v>78</v>
      </c>
      <c r="R17" s="424">
        <v>2.8E-5</v>
      </c>
      <c r="S17" s="424">
        <v>1.1E-5</v>
      </c>
      <c r="T17" s="420">
        <v>3.68E-4</v>
      </c>
      <c r="U17" s="425" t="s">
        <v>78</v>
      </c>
      <c r="V17" s="416"/>
      <c r="W17" s="424">
        <v>2.3E-5</v>
      </c>
      <c r="X17" s="423" t="s">
        <v>78</v>
      </c>
      <c r="Y17" s="424">
        <v>9.9999999999999995E-7</v>
      </c>
      <c r="Z17" s="426">
        <v>9.1999999999999998E-2</v>
      </c>
      <c r="AA17" s="425"/>
      <c r="AB17" s="425"/>
      <c r="AC17" s="545">
        <v>8.5000000000000006E-5</v>
      </c>
      <c r="AD17" s="418" t="s">
        <v>78</v>
      </c>
      <c r="AE17" s="419" t="s">
        <v>78</v>
      </c>
      <c r="AF17" s="420" t="s">
        <v>78</v>
      </c>
      <c r="AG17" s="419" t="s">
        <v>78</v>
      </c>
      <c r="AH17" s="420" t="s">
        <v>78</v>
      </c>
      <c r="AI17" s="420" t="s">
        <v>78</v>
      </c>
      <c r="AJ17" s="420" t="s">
        <v>78</v>
      </c>
      <c r="AK17" s="419" t="s">
        <v>78</v>
      </c>
      <c r="AL17" s="420" t="s">
        <v>78</v>
      </c>
      <c r="AM17" s="420" t="s">
        <v>78</v>
      </c>
      <c r="AN17" s="420" t="s">
        <v>78</v>
      </c>
      <c r="AO17" s="420" t="s">
        <v>78</v>
      </c>
      <c r="AP17" s="419" t="s">
        <v>78</v>
      </c>
      <c r="AQ17" s="419" t="s">
        <v>78</v>
      </c>
      <c r="AR17" s="420" t="s">
        <v>78</v>
      </c>
      <c r="AS17" s="420" t="s">
        <v>78</v>
      </c>
      <c r="AT17" s="420" t="s">
        <v>78</v>
      </c>
      <c r="AU17" s="420"/>
      <c r="AV17" s="340" t="s">
        <v>78</v>
      </c>
      <c r="AW17" s="338" t="s">
        <v>78</v>
      </c>
      <c r="AX17" s="338" t="s">
        <v>78</v>
      </c>
      <c r="AY17" s="338" t="s">
        <v>78</v>
      </c>
      <c r="AZ17" s="339" t="s">
        <v>78</v>
      </c>
      <c r="BA17" s="338" t="s">
        <v>78</v>
      </c>
      <c r="BB17" s="338" t="s">
        <v>78</v>
      </c>
      <c r="BC17" s="339" t="s">
        <v>78</v>
      </c>
      <c r="BD17" s="339" t="s">
        <v>78</v>
      </c>
      <c r="BE17" s="338" t="s">
        <v>78</v>
      </c>
      <c r="BF17" s="338" t="s">
        <v>78</v>
      </c>
      <c r="BG17" s="338" t="s">
        <v>78</v>
      </c>
      <c r="BH17" s="338" t="s">
        <v>78</v>
      </c>
      <c r="BI17" s="338" t="s">
        <v>78</v>
      </c>
      <c r="BJ17" s="338" t="s">
        <v>78</v>
      </c>
      <c r="BK17" s="339" t="s">
        <v>78</v>
      </c>
      <c r="BL17" s="339" t="s">
        <v>78</v>
      </c>
      <c r="BM17" s="338" t="s">
        <v>78</v>
      </c>
      <c r="BN17" s="338" t="s">
        <v>78</v>
      </c>
      <c r="BO17" s="338" t="s">
        <v>78</v>
      </c>
      <c r="BP17" s="338" t="s">
        <v>78</v>
      </c>
      <c r="BQ17" s="338" t="s">
        <v>78</v>
      </c>
      <c r="BR17" s="338" t="s">
        <v>78</v>
      </c>
      <c r="BS17" s="338" t="s">
        <v>78</v>
      </c>
      <c r="BT17" s="338" t="s">
        <v>78</v>
      </c>
      <c r="BU17" s="338" t="s">
        <v>78</v>
      </c>
      <c r="BV17" s="338" t="s">
        <v>78</v>
      </c>
      <c r="BW17" s="338" t="s">
        <v>78</v>
      </c>
      <c r="BX17" s="338" t="s">
        <v>78</v>
      </c>
      <c r="BY17" s="338"/>
      <c r="BZ17" s="338"/>
      <c r="CA17" s="338" t="s">
        <v>78</v>
      </c>
      <c r="CB17" s="338" t="s">
        <v>78</v>
      </c>
      <c r="CC17" s="338"/>
      <c r="CD17" s="338" t="s">
        <v>78</v>
      </c>
      <c r="CE17" s="339" t="s">
        <v>78</v>
      </c>
      <c r="CF17" s="338" t="s">
        <v>78</v>
      </c>
      <c r="CG17" s="338" t="s">
        <v>78</v>
      </c>
      <c r="CH17" s="338"/>
      <c r="CI17" s="338" t="s">
        <v>78</v>
      </c>
      <c r="CJ17" s="339" t="s">
        <v>78</v>
      </c>
      <c r="CK17" s="338" t="s">
        <v>78</v>
      </c>
      <c r="CL17" s="338" t="s">
        <v>78</v>
      </c>
      <c r="CM17" s="338" t="s">
        <v>78</v>
      </c>
      <c r="CN17" s="338"/>
      <c r="CO17" s="338" t="s">
        <v>78</v>
      </c>
      <c r="CP17" s="338" t="s">
        <v>78</v>
      </c>
      <c r="CQ17" s="338" t="s">
        <v>78</v>
      </c>
      <c r="CR17" s="338" t="s">
        <v>78</v>
      </c>
      <c r="CS17" s="339" t="s">
        <v>78</v>
      </c>
      <c r="CT17" s="339" t="s">
        <v>78</v>
      </c>
      <c r="CU17" s="338" t="s">
        <v>78</v>
      </c>
      <c r="CV17" s="339" t="s">
        <v>78</v>
      </c>
      <c r="CW17" s="339" t="s">
        <v>78</v>
      </c>
      <c r="CX17" s="338"/>
      <c r="CY17" s="339" t="s">
        <v>78</v>
      </c>
      <c r="CZ17" s="339" t="s">
        <v>78</v>
      </c>
      <c r="DA17" s="338" t="s">
        <v>78</v>
      </c>
      <c r="DB17" s="338" t="s">
        <v>78</v>
      </c>
      <c r="DC17" s="338" t="s">
        <v>78</v>
      </c>
      <c r="DD17" s="338" t="s">
        <v>78</v>
      </c>
      <c r="DE17" s="338" t="s">
        <v>78</v>
      </c>
      <c r="DF17" s="338"/>
      <c r="DG17" s="338"/>
      <c r="DH17" s="339"/>
      <c r="DI17" s="339" t="s">
        <v>78</v>
      </c>
      <c r="DJ17" s="338" t="s">
        <v>78</v>
      </c>
      <c r="DK17" s="338" t="s">
        <v>78</v>
      </c>
      <c r="DL17" s="338" t="s">
        <v>78</v>
      </c>
      <c r="DM17" s="338" t="s">
        <v>78</v>
      </c>
      <c r="DN17" s="338" t="s">
        <v>78</v>
      </c>
      <c r="DO17" s="338" t="s">
        <v>78</v>
      </c>
      <c r="DP17" s="486" t="s">
        <v>78</v>
      </c>
      <c r="DQ17" s="487"/>
      <c r="DR17" s="504"/>
    </row>
    <row r="18" spans="2:122" s="428" customFormat="1" ht="16.5" x14ac:dyDescent="0.35">
      <c r="B18" s="414"/>
      <c r="C18" s="415"/>
      <c r="D18" s="311"/>
      <c r="E18" s="186" t="s">
        <v>380</v>
      </c>
      <c r="F18" s="359" t="s">
        <v>431</v>
      </c>
      <c r="G18" s="421" t="s">
        <v>194</v>
      </c>
      <c r="H18" s="17" t="s">
        <v>78</v>
      </c>
      <c r="I18" s="422">
        <v>1.61E-2</v>
      </c>
      <c r="J18" s="423" t="s">
        <v>78</v>
      </c>
      <c r="K18" s="424">
        <v>1.4E-5</v>
      </c>
      <c r="L18" s="423" t="s">
        <v>78</v>
      </c>
      <c r="M18" s="424">
        <v>1.9999999999999999E-6</v>
      </c>
      <c r="N18" s="424">
        <v>9.9999999999999995E-7</v>
      </c>
      <c r="O18" s="424">
        <v>3.0000000000000001E-6</v>
      </c>
      <c r="P18" s="485">
        <f>O18+0.000024</f>
        <v>2.6999999999999999E-5</v>
      </c>
      <c r="Q18" s="448" t="s">
        <v>78</v>
      </c>
      <c r="R18" s="424">
        <v>2.0999999999999999E-5</v>
      </c>
      <c r="S18" s="424">
        <v>1.4E-5</v>
      </c>
      <c r="T18" s="424">
        <v>7.3999999999999996E-5</v>
      </c>
      <c r="U18" s="425" t="s">
        <v>78</v>
      </c>
      <c r="V18" s="416"/>
      <c r="W18" s="424">
        <v>1.1E-5</v>
      </c>
      <c r="X18" s="423" t="s">
        <v>78</v>
      </c>
      <c r="Y18" s="424">
        <v>9.9999999999999995E-7</v>
      </c>
      <c r="Z18" s="426">
        <v>9.1999999999999998E-2</v>
      </c>
      <c r="AA18" s="425"/>
      <c r="AB18" s="425"/>
      <c r="AC18" s="545">
        <v>2.8E-5</v>
      </c>
      <c r="AD18" s="418" t="s">
        <v>78</v>
      </c>
      <c r="AE18" s="419" t="s">
        <v>78</v>
      </c>
      <c r="AF18" s="420" t="s">
        <v>78</v>
      </c>
      <c r="AG18" s="419" t="s">
        <v>78</v>
      </c>
      <c r="AH18" s="420" t="s">
        <v>78</v>
      </c>
      <c r="AI18" s="420" t="s">
        <v>78</v>
      </c>
      <c r="AJ18" s="420" t="s">
        <v>78</v>
      </c>
      <c r="AK18" s="419" t="s">
        <v>78</v>
      </c>
      <c r="AL18" s="420" t="s">
        <v>78</v>
      </c>
      <c r="AM18" s="420" t="s">
        <v>78</v>
      </c>
      <c r="AN18" s="420" t="s">
        <v>78</v>
      </c>
      <c r="AO18" s="420" t="s">
        <v>78</v>
      </c>
      <c r="AP18" s="419" t="s">
        <v>78</v>
      </c>
      <c r="AQ18" s="419" t="s">
        <v>78</v>
      </c>
      <c r="AR18" s="420" t="s">
        <v>78</v>
      </c>
      <c r="AS18" s="420" t="s">
        <v>78</v>
      </c>
      <c r="AT18" s="420" t="s">
        <v>78</v>
      </c>
      <c r="AU18" s="420"/>
      <c r="AV18" s="340" t="s">
        <v>78</v>
      </c>
      <c r="AW18" s="338" t="s">
        <v>78</v>
      </c>
      <c r="AX18" s="338" t="s">
        <v>78</v>
      </c>
      <c r="AY18" s="338" t="s">
        <v>78</v>
      </c>
      <c r="AZ18" s="339" t="s">
        <v>78</v>
      </c>
      <c r="BA18" s="338" t="s">
        <v>78</v>
      </c>
      <c r="BB18" s="339" t="s">
        <v>78</v>
      </c>
      <c r="BC18" s="339" t="s">
        <v>78</v>
      </c>
      <c r="BD18" s="338" t="s">
        <v>78</v>
      </c>
      <c r="BE18" s="338" t="s">
        <v>78</v>
      </c>
      <c r="BF18" s="338" t="s">
        <v>78</v>
      </c>
      <c r="BG18" s="338" t="s">
        <v>78</v>
      </c>
      <c r="BH18" s="338" t="s">
        <v>78</v>
      </c>
      <c r="BI18" s="338"/>
      <c r="BJ18" s="338"/>
      <c r="BK18" s="339" t="s">
        <v>78</v>
      </c>
      <c r="BL18" s="339" t="s">
        <v>78</v>
      </c>
      <c r="BM18" s="338" t="s">
        <v>78</v>
      </c>
      <c r="BN18" s="338" t="s">
        <v>78</v>
      </c>
      <c r="BO18" s="338"/>
      <c r="BP18" s="338" t="s">
        <v>78</v>
      </c>
      <c r="BQ18" s="338" t="s">
        <v>78</v>
      </c>
      <c r="BR18" s="338" t="s">
        <v>78</v>
      </c>
      <c r="BS18" s="338" t="s">
        <v>78</v>
      </c>
      <c r="BT18" s="338" t="s">
        <v>78</v>
      </c>
      <c r="BU18" s="338" t="s">
        <v>78</v>
      </c>
      <c r="BV18" s="338" t="s">
        <v>78</v>
      </c>
      <c r="BW18" s="338" t="s">
        <v>78</v>
      </c>
      <c r="BX18" s="338" t="s">
        <v>78</v>
      </c>
      <c r="BY18" s="338"/>
      <c r="BZ18" s="338"/>
      <c r="CA18" s="338" t="s">
        <v>78</v>
      </c>
      <c r="CB18" s="338" t="s">
        <v>78</v>
      </c>
      <c r="CC18" s="338"/>
      <c r="CD18" s="338" t="s">
        <v>78</v>
      </c>
      <c r="CE18" s="339" t="s">
        <v>78</v>
      </c>
      <c r="CF18" s="338" t="s">
        <v>78</v>
      </c>
      <c r="CG18" s="338" t="s">
        <v>78</v>
      </c>
      <c r="CH18" s="338"/>
      <c r="CI18" s="338" t="s">
        <v>78</v>
      </c>
      <c r="CJ18" s="339" t="s">
        <v>78</v>
      </c>
      <c r="CK18" s="338" t="s">
        <v>78</v>
      </c>
      <c r="CL18" s="338" t="s">
        <v>78</v>
      </c>
      <c r="CM18" s="338" t="s">
        <v>78</v>
      </c>
      <c r="CN18" s="338"/>
      <c r="CO18" s="338" t="s">
        <v>78</v>
      </c>
      <c r="CP18" s="338" t="s">
        <v>78</v>
      </c>
      <c r="CQ18" s="338" t="s">
        <v>78</v>
      </c>
      <c r="CR18" s="338" t="s">
        <v>78</v>
      </c>
      <c r="CS18" s="339" t="s">
        <v>78</v>
      </c>
      <c r="CT18" s="339" t="s">
        <v>78</v>
      </c>
      <c r="CU18" s="338" t="s">
        <v>78</v>
      </c>
      <c r="CV18" s="339" t="s">
        <v>78</v>
      </c>
      <c r="CW18" s="339" t="s">
        <v>78</v>
      </c>
      <c r="CX18" s="338"/>
      <c r="CY18" s="339" t="s">
        <v>78</v>
      </c>
      <c r="CZ18" s="339" t="s">
        <v>78</v>
      </c>
      <c r="DA18" s="338" t="s">
        <v>78</v>
      </c>
      <c r="DB18" s="338" t="s">
        <v>78</v>
      </c>
      <c r="DC18" s="338" t="s">
        <v>78</v>
      </c>
      <c r="DD18" s="338" t="s">
        <v>78</v>
      </c>
      <c r="DE18" s="338" t="s">
        <v>78</v>
      </c>
      <c r="DF18" s="338"/>
      <c r="DG18" s="338"/>
      <c r="DH18" s="339"/>
      <c r="DI18" s="339" t="s">
        <v>78</v>
      </c>
      <c r="DJ18" s="338" t="s">
        <v>78</v>
      </c>
      <c r="DK18" s="338" t="s">
        <v>78</v>
      </c>
      <c r="DL18" s="338" t="s">
        <v>78</v>
      </c>
      <c r="DM18" s="338" t="s">
        <v>78</v>
      </c>
      <c r="DN18" s="338" t="s">
        <v>78</v>
      </c>
      <c r="DO18" s="338" t="s">
        <v>78</v>
      </c>
      <c r="DP18" s="486" t="s">
        <v>78</v>
      </c>
      <c r="DQ18" s="487"/>
      <c r="DR18" s="504"/>
    </row>
    <row r="19" spans="2:122" ht="15" thickBot="1" x14ac:dyDescent="0.4">
      <c r="B19" s="46"/>
      <c r="C19" s="302"/>
      <c r="D19" s="47"/>
      <c r="E19" s="226"/>
      <c r="F19" s="227"/>
      <c r="G19" s="56"/>
      <c r="H19" s="49"/>
      <c r="I19" s="228"/>
      <c r="J19" s="231"/>
      <c r="K19" s="229"/>
      <c r="L19" s="230"/>
      <c r="M19" s="229"/>
      <c r="N19" s="229"/>
      <c r="O19" s="229"/>
      <c r="P19" s="231"/>
      <c r="Q19" s="446"/>
      <c r="R19" s="229"/>
      <c r="S19" s="229"/>
      <c r="T19" s="105"/>
      <c r="U19" s="229"/>
      <c r="V19" s="230"/>
      <c r="W19" s="229"/>
      <c r="X19" s="231"/>
      <c r="Y19" s="229"/>
      <c r="Z19" s="229"/>
      <c r="AA19" s="229"/>
      <c r="AB19" s="229"/>
      <c r="AC19" s="232"/>
      <c r="AD19" s="233"/>
      <c r="AE19" s="234"/>
      <c r="AF19" s="235"/>
      <c r="AG19" s="234"/>
      <c r="AH19" s="235"/>
      <c r="AI19" s="235"/>
      <c r="AJ19" s="235"/>
      <c r="AK19" s="234"/>
      <c r="AL19" s="235"/>
      <c r="AM19" s="235"/>
      <c r="AN19" s="235"/>
      <c r="AO19" s="235"/>
      <c r="AP19" s="234"/>
      <c r="AQ19" s="234"/>
      <c r="AR19" s="235"/>
      <c r="AS19" s="235"/>
      <c r="AT19" s="235"/>
      <c r="AU19" s="235"/>
      <c r="AV19" s="105"/>
      <c r="AW19" s="53"/>
      <c r="AX19" s="53"/>
      <c r="AY19" s="53"/>
      <c r="AZ19" s="99"/>
      <c r="BA19" s="53"/>
      <c r="BB19" s="53"/>
      <c r="BC19" s="99"/>
      <c r="BD19" s="99"/>
      <c r="BE19" s="53"/>
      <c r="BF19" s="53"/>
      <c r="BG19" s="53"/>
      <c r="BH19" s="53"/>
      <c r="BI19" s="53"/>
      <c r="BJ19" s="53"/>
      <c r="BK19" s="99"/>
      <c r="BL19" s="99"/>
      <c r="BM19" s="53"/>
      <c r="BN19" s="53"/>
      <c r="BO19" s="53"/>
      <c r="BP19" s="53"/>
      <c r="BQ19" s="53"/>
      <c r="BR19" s="53"/>
      <c r="BS19" s="53"/>
      <c r="BT19" s="53"/>
      <c r="BU19" s="53"/>
      <c r="BV19" s="53"/>
      <c r="BW19" s="53"/>
      <c r="BX19" s="53"/>
      <c r="BY19" s="53"/>
      <c r="BZ19" s="53"/>
      <c r="CA19" s="53"/>
      <c r="CB19" s="53"/>
      <c r="CC19" s="53"/>
      <c r="CD19" s="53"/>
      <c r="CE19" s="99"/>
      <c r="CF19" s="53"/>
      <c r="CG19" s="53"/>
      <c r="CH19" s="53"/>
      <c r="CI19" s="53"/>
      <c r="CJ19" s="99"/>
      <c r="CK19" s="53"/>
      <c r="CL19" s="53"/>
      <c r="CM19" s="53"/>
      <c r="CN19" s="53"/>
      <c r="CO19" s="53"/>
      <c r="CP19" s="53"/>
      <c r="CQ19" s="53"/>
      <c r="CR19" s="53"/>
      <c r="CS19" s="99"/>
      <c r="CT19" s="99"/>
      <c r="CU19" s="175"/>
      <c r="CV19" s="99"/>
      <c r="CW19" s="53"/>
      <c r="CX19" s="53"/>
      <c r="CY19" s="99"/>
      <c r="CZ19" s="99"/>
      <c r="DA19" s="53"/>
      <c r="DB19" s="53"/>
      <c r="DC19" s="53"/>
      <c r="DD19" s="53"/>
      <c r="DE19" s="53"/>
      <c r="DF19" s="53"/>
      <c r="DG19" s="53"/>
      <c r="DH19" s="99"/>
      <c r="DI19" s="99"/>
      <c r="DJ19" s="53"/>
      <c r="DK19" s="53"/>
      <c r="DL19" s="53"/>
      <c r="DM19" s="53"/>
      <c r="DN19" s="53"/>
      <c r="DO19" s="53"/>
      <c r="DP19" s="319"/>
    </row>
    <row r="20" spans="2:122" x14ac:dyDescent="0.35">
      <c r="B20" s="223"/>
      <c r="C20" s="305" t="s">
        <v>225</v>
      </c>
      <c r="D20" s="224"/>
      <c r="E20" s="225"/>
      <c r="F20" s="243"/>
      <c r="G20" s="55"/>
      <c r="H20" s="85"/>
      <c r="I20" s="244"/>
      <c r="J20" s="245"/>
      <c r="K20" s="246"/>
      <c r="L20" s="247"/>
      <c r="M20" s="246"/>
      <c r="N20" s="246"/>
      <c r="O20" s="246"/>
      <c r="P20" s="245"/>
      <c r="Q20" s="447"/>
      <c r="R20" s="246"/>
      <c r="S20" s="246"/>
      <c r="T20" s="103"/>
      <c r="U20" s="246"/>
      <c r="V20" s="247"/>
      <c r="W20" s="246"/>
      <c r="X20" s="245"/>
      <c r="Y20" s="246"/>
      <c r="Z20" s="246"/>
      <c r="AA20" s="246"/>
      <c r="AB20" s="246"/>
      <c r="AC20" s="248"/>
      <c r="AD20" s="249"/>
      <c r="AE20" s="250"/>
      <c r="AF20" s="251"/>
      <c r="AG20" s="250"/>
      <c r="AH20" s="251"/>
      <c r="AI20" s="251"/>
      <c r="AJ20" s="251"/>
      <c r="AK20" s="250"/>
      <c r="AL20" s="251"/>
      <c r="AM20" s="251"/>
      <c r="AN20" s="251"/>
      <c r="AO20" s="251"/>
      <c r="AP20" s="250"/>
      <c r="AQ20" s="250"/>
      <c r="AR20" s="251"/>
      <c r="AS20" s="251"/>
      <c r="AT20" s="251"/>
      <c r="AU20" s="251"/>
      <c r="AV20" s="103"/>
      <c r="AW20" s="57"/>
      <c r="AX20" s="57"/>
      <c r="AY20" s="57"/>
      <c r="AZ20" s="101"/>
      <c r="BA20" s="57"/>
      <c r="BB20" s="57"/>
      <c r="BC20" s="101"/>
      <c r="BD20" s="101"/>
      <c r="BE20" s="57"/>
      <c r="BF20" s="57"/>
      <c r="BG20" s="57"/>
      <c r="BH20" s="57"/>
      <c r="BI20" s="57"/>
      <c r="BJ20" s="57"/>
      <c r="BK20" s="101"/>
      <c r="BL20" s="101"/>
      <c r="BM20" s="57"/>
      <c r="BN20" s="57"/>
      <c r="BO20" s="57"/>
      <c r="BP20" s="57"/>
      <c r="BQ20" s="57"/>
      <c r="BR20" s="57"/>
      <c r="BS20" s="57"/>
      <c r="BT20" s="57"/>
      <c r="BU20" s="57"/>
      <c r="BV20" s="57"/>
      <c r="BW20" s="57"/>
      <c r="BX20" s="57"/>
      <c r="BY20" s="57"/>
      <c r="BZ20" s="57"/>
      <c r="CA20" s="57"/>
      <c r="CB20" s="57"/>
      <c r="CC20" s="57"/>
      <c r="CD20" s="57"/>
      <c r="CE20" s="101"/>
      <c r="CF20" s="57"/>
      <c r="CG20" s="57"/>
      <c r="CH20" s="57"/>
      <c r="CI20" s="57"/>
      <c r="CJ20" s="101"/>
      <c r="CK20" s="57"/>
      <c r="CL20" s="57"/>
      <c r="CM20" s="57"/>
      <c r="CN20" s="57"/>
      <c r="CO20" s="57"/>
      <c r="CP20" s="57"/>
      <c r="CQ20" s="57"/>
      <c r="CR20" s="57"/>
      <c r="CS20" s="101"/>
      <c r="CT20" s="101"/>
      <c r="CU20" s="168"/>
      <c r="CV20" s="101"/>
      <c r="CW20" s="57"/>
      <c r="CX20" s="57"/>
      <c r="CY20" s="101"/>
      <c r="CZ20" s="101"/>
      <c r="DA20" s="57"/>
      <c r="DB20" s="57"/>
      <c r="DC20" s="57"/>
      <c r="DD20" s="57"/>
      <c r="DE20" s="57"/>
      <c r="DF20" s="57"/>
      <c r="DG20" s="57"/>
      <c r="DH20" s="101"/>
      <c r="DI20" s="101"/>
      <c r="DJ20" s="57"/>
      <c r="DK20" s="57"/>
      <c r="DL20" s="57"/>
      <c r="DM20" s="57"/>
      <c r="DN20" s="57"/>
      <c r="DO20" s="57"/>
      <c r="DP20" s="320"/>
    </row>
    <row r="21" spans="2:122" ht="16.5" x14ac:dyDescent="0.35">
      <c r="B21" s="30"/>
      <c r="C21" s="29"/>
      <c r="D21" s="31"/>
      <c r="E21" s="186" t="s">
        <v>226</v>
      </c>
      <c r="F21" s="189" t="s">
        <v>385</v>
      </c>
      <c r="G21" s="314" t="s">
        <v>234</v>
      </c>
      <c r="H21" s="17" t="s">
        <v>458</v>
      </c>
      <c r="I21" s="203" t="s">
        <v>78</v>
      </c>
      <c r="J21" s="98" t="s">
        <v>78</v>
      </c>
      <c r="K21" s="238">
        <f>4.6/10^7</f>
        <v>4.5999999999999999E-7</v>
      </c>
      <c r="L21" s="237">
        <f>1.5/10^6</f>
        <v>1.5E-6</v>
      </c>
      <c r="M21" s="238">
        <f>1.5/10^7</f>
        <v>1.4999999999999999E-7</v>
      </c>
      <c r="N21" s="238">
        <f>6.1/10^7</f>
        <v>6.0999999999999998E-7</v>
      </c>
      <c r="O21" s="238">
        <f>4.8/10^8</f>
        <v>4.8E-8</v>
      </c>
      <c r="P21" s="237">
        <f>5.7/10^7</f>
        <v>5.7000000000000005E-7</v>
      </c>
      <c r="Q21" s="445" t="s">
        <v>78</v>
      </c>
      <c r="R21" s="238">
        <f>2.8/10^6</f>
        <v>2.7999999999999999E-6</v>
      </c>
      <c r="S21" s="238">
        <f>8.9/10^7</f>
        <v>8.9000000000000006E-7</v>
      </c>
      <c r="T21" s="238">
        <f>6.9/10^6</f>
        <v>6.9E-6</v>
      </c>
      <c r="U21" s="238">
        <f>4.1/10^7</f>
        <v>4.0999999999999994E-7</v>
      </c>
      <c r="V21" s="115" t="s">
        <v>78</v>
      </c>
      <c r="W21" s="238">
        <f>3/10^6</f>
        <v>3.0000000000000001E-6</v>
      </c>
      <c r="X21" s="98" t="s">
        <v>78</v>
      </c>
      <c r="Y21" s="238">
        <f>4.9/10^7</f>
        <v>4.9000000000000007E-7</v>
      </c>
      <c r="Z21" s="183" t="s">
        <v>78</v>
      </c>
      <c r="AA21" s="183" t="s">
        <v>78</v>
      </c>
      <c r="AB21" s="183" t="s">
        <v>78</v>
      </c>
      <c r="AC21" s="239">
        <f>6.8/10^6</f>
        <v>6.8000000000000001E-6</v>
      </c>
      <c r="AD21" s="236">
        <f>9/10^7</f>
        <v>8.9999999999999996E-7</v>
      </c>
      <c r="AE21" s="237">
        <f>5.8/10^7</f>
        <v>5.7999999999999995E-7</v>
      </c>
      <c r="AF21" s="95">
        <v>3.2000000000000003E-4</v>
      </c>
      <c r="AG21" s="135" t="s">
        <v>78</v>
      </c>
      <c r="AH21" s="95" t="s">
        <v>78</v>
      </c>
      <c r="AI21" s="95" t="s">
        <v>78</v>
      </c>
      <c r="AJ21" s="95" t="s">
        <v>78</v>
      </c>
      <c r="AK21" s="237">
        <f>2.1/10^7</f>
        <v>2.1E-7</v>
      </c>
      <c r="AL21" s="238">
        <f>4.6/10^9</f>
        <v>4.5999999999999998E-9</v>
      </c>
      <c r="AM21" s="23">
        <v>2.7999999999999998E-4</v>
      </c>
      <c r="AN21" s="238">
        <f>3.1/10^10</f>
        <v>3.1000000000000002E-10</v>
      </c>
      <c r="AO21" s="238">
        <f>9.4/10^9</f>
        <v>9.3999999999999998E-9</v>
      </c>
      <c r="AP21" s="135" t="s">
        <v>78</v>
      </c>
      <c r="AQ21" s="237">
        <f>5/10^10</f>
        <v>5.0000000000000003E-10</v>
      </c>
      <c r="AR21" s="238">
        <f>1.3/10^8</f>
        <v>1.3000000000000001E-8</v>
      </c>
      <c r="AS21" s="95" t="s">
        <v>78</v>
      </c>
      <c r="AT21" s="95" t="s">
        <v>78</v>
      </c>
      <c r="AU21" s="95" t="s">
        <v>78</v>
      </c>
      <c r="AV21" s="60" t="s">
        <v>78</v>
      </c>
      <c r="AW21" s="17" t="s">
        <v>78</v>
      </c>
      <c r="AX21" s="17" t="s">
        <v>78</v>
      </c>
      <c r="AY21" s="17">
        <f>3.8/10^9</f>
        <v>3.8000000000000001E-9</v>
      </c>
      <c r="AZ21" s="69" t="s">
        <v>78</v>
      </c>
      <c r="BA21" s="17">
        <f>9.5/10^11</f>
        <v>9.4999999999999995E-11</v>
      </c>
      <c r="BB21" s="17" t="s">
        <v>78</v>
      </c>
      <c r="BC21" s="69" t="s">
        <v>78</v>
      </c>
      <c r="BD21" s="69" t="s">
        <v>78</v>
      </c>
      <c r="BE21" s="17" t="s">
        <v>78</v>
      </c>
      <c r="BF21" s="17" t="s">
        <v>78</v>
      </c>
      <c r="BG21" s="17">
        <v>2.2000000000000001E-3</v>
      </c>
      <c r="BH21" s="17" t="s">
        <v>78</v>
      </c>
      <c r="BI21" s="17" t="s">
        <v>78</v>
      </c>
      <c r="BJ21" s="17" t="s">
        <v>78</v>
      </c>
      <c r="BK21" s="237">
        <f>1.6/10^7</f>
        <v>1.6E-7</v>
      </c>
      <c r="BL21" s="69">
        <f>1.6/10^6</f>
        <v>1.6000000000000001E-6</v>
      </c>
      <c r="BM21" s="17">
        <v>7.3999999999999999E-4</v>
      </c>
      <c r="BN21" s="17" t="s">
        <v>78</v>
      </c>
      <c r="BO21" s="17" t="s">
        <v>78</v>
      </c>
      <c r="BP21" s="17" t="s">
        <v>78</v>
      </c>
      <c r="BQ21" s="17" t="s">
        <v>78</v>
      </c>
      <c r="BR21" s="17" t="s">
        <v>78</v>
      </c>
      <c r="BS21" s="17" t="s">
        <v>78</v>
      </c>
      <c r="BT21" s="17" t="s">
        <v>78</v>
      </c>
      <c r="BU21" s="17" t="s">
        <v>78</v>
      </c>
      <c r="BV21" s="17" t="s">
        <v>78</v>
      </c>
      <c r="BW21" s="17" t="s">
        <v>78</v>
      </c>
      <c r="BX21" s="17" t="s">
        <v>78</v>
      </c>
      <c r="BY21" s="17" t="s">
        <v>78</v>
      </c>
      <c r="BZ21" s="17" t="s">
        <v>78</v>
      </c>
      <c r="CA21" s="17" t="s">
        <v>78</v>
      </c>
      <c r="CB21" s="238">
        <f>3/10^10</f>
        <v>3E-10</v>
      </c>
      <c r="CC21" s="17" t="s">
        <v>78</v>
      </c>
      <c r="CD21" s="17" t="s">
        <v>78</v>
      </c>
      <c r="CE21" s="69" t="s">
        <v>78</v>
      </c>
      <c r="CF21" s="17" t="s">
        <v>78</v>
      </c>
      <c r="CG21" s="17" t="s">
        <v>78</v>
      </c>
      <c r="CH21" s="17" t="s">
        <v>78</v>
      </c>
      <c r="CI21" s="17" t="s">
        <v>78</v>
      </c>
      <c r="CJ21" s="237">
        <f>7.1/10^5</f>
        <v>7.0999999999999991E-5</v>
      </c>
      <c r="CK21" s="238">
        <f>3.6/10^5</f>
        <v>3.6000000000000001E-5</v>
      </c>
      <c r="CL21" s="17" t="s">
        <v>78</v>
      </c>
      <c r="CM21" s="17" t="s">
        <v>78</v>
      </c>
      <c r="CN21" s="17" t="s">
        <v>78</v>
      </c>
      <c r="CO21" s="17" t="s">
        <v>78</v>
      </c>
      <c r="CP21" s="17" t="s">
        <v>78</v>
      </c>
      <c r="CQ21" s="17" t="s">
        <v>78</v>
      </c>
      <c r="CR21" s="17" t="s">
        <v>78</v>
      </c>
      <c r="CS21" s="69" t="s">
        <v>78</v>
      </c>
      <c r="CT21" s="237">
        <f>2.6/10^6</f>
        <v>2.6000000000000001E-6</v>
      </c>
      <c r="CU21" s="95" t="s">
        <v>78</v>
      </c>
      <c r="CV21" s="237" t="s">
        <v>78</v>
      </c>
      <c r="CW21" s="17" t="s">
        <v>78</v>
      </c>
      <c r="CX21" s="17" t="s">
        <v>78</v>
      </c>
      <c r="CY21" s="237">
        <f>6.2/10^8</f>
        <v>6.1999999999999999E-8</v>
      </c>
      <c r="CZ21" s="69">
        <v>2.7E-4</v>
      </c>
      <c r="DA21" s="17" t="s">
        <v>78</v>
      </c>
      <c r="DB21" s="17" t="s">
        <v>78</v>
      </c>
      <c r="DC21" s="17" t="s">
        <v>78</v>
      </c>
      <c r="DD21" s="17" t="s">
        <v>78</v>
      </c>
      <c r="DE21" s="60">
        <v>1E-3</v>
      </c>
      <c r="DF21" s="17" t="s">
        <v>78</v>
      </c>
      <c r="DG21" s="17" t="s">
        <v>78</v>
      </c>
      <c r="DH21" s="69" t="s">
        <v>78</v>
      </c>
      <c r="DI21" s="69" t="s">
        <v>78</v>
      </c>
      <c r="DJ21" s="17" t="s">
        <v>78</v>
      </c>
      <c r="DK21" s="17" t="s">
        <v>78</v>
      </c>
      <c r="DL21" s="17" t="s">
        <v>78</v>
      </c>
      <c r="DM21" s="17" t="s">
        <v>78</v>
      </c>
      <c r="DN21" s="17">
        <v>2.7000000000000001E-3</v>
      </c>
      <c r="DO21" s="17" t="s">
        <v>78</v>
      </c>
      <c r="DP21" s="52" t="s">
        <v>78</v>
      </c>
    </row>
    <row r="22" spans="2:122" ht="16.5" x14ac:dyDescent="0.35">
      <c r="B22" s="30"/>
      <c r="C22" s="29"/>
      <c r="D22" s="31"/>
      <c r="E22" s="321" t="s">
        <v>227</v>
      </c>
      <c r="F22" s="189" t="s">
        <v>385</v>
      </c>
      <c r="G22" s="314" t="s">
        <v>234</v>
      </c>
      <c r="H22" s="17" t="s">
        <v>458</v>
      </c>
      <c r="I22" s="203" t="s">
        <v>78</v>
      </c>
      <c r="J22" s="98" t="s">
        <v>78</v>
      </c>
      <c r="K22" s="238">
        <f>4.6/10^7</f>
        <v>4.5999999999999999E-7</v>
      </c>
      <c r="L22" s="237">
        <f>1.5/10^6</f>
        <v>1.5E-6</v>
      </c>
      <c r="M22" s="238">
        <f>1.5/10^7</f>
        <v>1.4999999999999999E-7</v>
      </c>
      <c r="N22" s="238">
        <f>6.1/10^7</f>
        <v>6.0999999999999998E-7</v>
      </c>
      <c r="O22" s="238">
        <f>4.8/10^8</f>
        <v>4.8E-8</v>
      </c>
      <c r="P22" s="237">
        <f>5.7/10^7</f>
        <v>5.7000000000000005E-7</v>
      </c>
      <c r="Q22" s="445" t="s">
        <v>78</v>
      </c>
      <c r="R22" s="238">
        <f>2.8/10^6</f>
        <v>2.7999999999999999E-6</v>
      </c>
      <c r="S22" s="238">
        <f>1/10^5</f>
        <v>1.0000000000000001E-5</v>
      </c>
      <c r="T22" s="238">
        <f>6.9/10^6</f>
        <v>6.9E-6</v>
      </c>
      <c r="U22" s="238">
        <f>4.1/10^7</f>
        <v>4.0999999999999994E-7</v>
      </c>
      <c r="V22" s="115" t="s">
        <v>78</v>
      </c>
      <c r="W22" s="238">
        <f>3/10^6</f>
        <v>3.0000000000000001E-6</v>
      </c>
      <c r="X22" s="98" t="s">
        <v>78</v>
      </c>
      <c r="Y22" s="238">
        <f>4.9/10^7</f>
        <v>4.9000000000000007E-7</v>
      </c>
      <c r="Z22" s="183" t="s">
        <v>78</v>
      </c>
      <c r="AA22" s="183" t="s">
        <v>78</v>
      </c>
      <c r="AB22" s="183" t="s">
        <v>78</v>
      </c>
      <c r="AC22" s="239">
        <f>6.8/10^6</f>
        <v>6.8000000000000001E-6</v>
      </c>
      <c r="AD22" s="236">
        <f>9/10^7</f>
        <v>8.9999999999999996E-7</v>
      </c>
      <c r="AE22" s="237">
        <f>5.8/10^7</f>
        <v>5.7999999999999995E-7</v>
      </c>
      <c r="AF22" s="95">
        <v>3.2000000000000003E-4</v>
      </c>
      <c r="AG22" s="135" t="s">
        <v>78</v>
      </c>
      <c r="AH22" s="95" t="s">
        <v>78</v>
      </c>
      <c r="AI22" s="95" t="s">
        <v>78</v>
      </c>
      <c r="AJ22" s="95" t="s">
        <v>78</v>
      </c>
      <c r="AK22" s="237">
        <f>2.1/10^7</f>
        <v>2.1E-7</v>
      </c>
      <c r="AL22" s="238">
        <f>4.6/10^9</f>
        <v>4.5999999999999998E-9</v>
      </c>
      <c r="AM22" s="23">
        <v>2.7999999999999998E-4</v>
      </c>
      <c r="AN22" s="238">
        <f>3.1/10^10</f>
        <v>3.1000000000000002E-10</v>
      </c>
      <c r="AO22" s="238">
        <f>9.4/10^9</f>
        <v>9.3999999999999998E-9</v>
      </c>
      <c r="AP22" s="135" t="s">
        <v>78</v>
      </c>
      <c r="AQ22" s="237">
        <f>5/10^10</f>
        <v>5.0000000000000003E-10</v>
      </c>
      <c r="AR22" s="238">
        <f>1.3/10^8</f>
        <v>1.3000000000000001E-8</v>
      </c>
      <c r="AS22" s="95" t="s">
        <v>78</v>
      </c>
      <c r="AT22" s="95" t="s">
        <v>78</v>
      </c>
      <c r="AU22" s="95" t="s">
        <v>78</v>
      </c>
      <c r="AV22" s="60" t="s">
        <v>78</v>
      </c>
      <c r="AW22" s="17" t="s">
        <v>78</v>
      </c>
      <c r="AX22" s="17" t="s">
        <v>78</v>
      </c>
      <c r="AY22" s="17">
        <f>3.8/10^9</f>
        <v>3.8000000000000001E-9</v>
      </c>
      <c r="AZ22" s="69" t="s">
        <v>78</v>
      </c>
      <c r="BA22" s="17">
        <f>9.5/10^11</f>
        <v>9.4999999999999995E-11</v>
      </c>
      <c r="BB22" s="17" t="s">
        <v>78</v>
      </c>
      <c r="BC22" s="69" t="s">
        <v>78</v>
      </c>
      <c r="BD22" s="69" t="s">
        <v>78</v>
      </c>
      <c r="BE22" s="17" t="s">
        <v>78</v>
      </c>
      <c r="BF22" s="17" t="s">
        <v>78</v>
      </c>
      <c r="BG22" s="17">
        <v>2.2000000000000001E-3</v>
      </c>
      <c r="BH22" s="17" t="s">
        <v>78</v>
      </c>
      <c r="BI22" s="17" t="s">
        <v>78</v>
      </c>
      <c r="BJ22" s="17" t="s">
        <v>78</v>
      </c>
      <c r="BK22" s="237">
        <f>2.4/10^5</f>
        <v>2.4000000000000001E-5</v>
      </c>
      <c r="BL22" s="69">
        <f>1.6/10^6</f>
        <v>1.6000000000000001E-6</v>
      </c>
      <c r="BM22" s="17">
        <v>7.3999999999999999E-4</v>
      </c>
      <c r="BN22" s="17" t="s">
        <v>78</v>
      </c>
      <c r="BO22" s="17" t="s">
        <v>78</v>
      </c>
      <c r="BP22" s="17" t="s">
        <v>78</v>
      </c>
      <c r="BQ22" s="17" t="s">
        <v>78</v>
      </c>
      <c r="BR22" s="17" t="s">
        <v>78</v>
      </c>
      <c r="BS22" s="17" t="s">
        <v>78</v>
      </c>
      <c r="BT22" s="17" t="s">
        <v>78</v>
      </c>
      <c r="BU22" s="17" t="s">
        <v>78</v>
      </c>
      <c r="BV22" s="17" t="s">
        <v>78</v>
      </c>
      <c r="BW22" s="17" t="s">
        <v>78</v>
      </c>
      <c r="BX22" s="17" t="s">
        <v>78</v>
      </c>
      <c r="BY22" s="17" t="s">
        <v>78</v>
      </c>
      <c r="BZ22" s="17" t="s">
        <v>78</v>
      </c>
      <c r="CA22" s="17" t="s">
        <v>78</v>
      </c>
      <c r="CB22" s="238">
        <f>3/10^10</f>
        <v>3E-10</v>
      </c>
      <c r="CC22" s="17" t="s">
        <v>78</v>
      </c>
      <c r="CD22" s="17" t="s">
        <v>78</v>
      </c>
      <c r="CE22" s="69" t="s">
        <v>78</v>
      </c>
      <c r="CF22" s="17" t="s">
        <v>78</v>
      </c>
      <c r="CG22" s="17" t="s">
        <v>78</v>
      </c>
      <c r="CH22" s="17" t="s">
        <v>78</v>
      </c>
      <c r="CI22" s="17" t="s">
        <v>78</v>
      </c>
      <c r="CJ22" s="237">
        <f>7.1/10^5</f>
        <v>7.0999999999999991E-5</v>
      </c>
      <c r="CK22" s="238">
        <f>3.6/10^5</f>
        <v>3.6000000000000001E-5</v>
      </c>
      <c r="CL22" s="17" t="s">
        <v>78</v>
      </c>
      <c r="CM22" s="17" t="s">
        <v>78</v>
      </c>
      <c r="CN22" s="17" t="s">
        <v>78</v>
      </c>
      <c r="CO22" s="17" t="s">
        <v>78</v>
      </c>
      <c r="CP22" s="17" t="s">
        <v>78</v>
      </c>
      <c r="CQ22" s="17" t="s">
        <v>78</v>
      </c>
      <c r="CR22" s="17" t="s">
        <v>78</v>
      </c>
      <c r="CS22" s="69" t="s">
        <v>78</v>
      </c>
      <c r="CT22" s="237">
        <f>3.7/10^5</f>
        <v>3.7000000000000005E-5</v>
      </c>
      <c r="CU22" s="17" t="s">
        <v>78</v>
      </c>
      <c r="CV22" s="237" t="s">
        <v>78</v>
      </c>
      <c r="CW22" s="17" t="s">
        <v>78</v>
      </c>
      <c r="CX22" s="17" t="s">
        <v>78</v>
      </c>
      <c r="CY22" s="237">
        <f>5.5/10^5</f>
        <v>5.5000000000000002E-5</v>
      </c>
      <c r="CZ22" s="69">
        <v>2.7E-4</v>
      </c>
      <c r="DA22" s="17" t="s">
        <v>78</v>
      </c>
      <c r="DB22" s="17" t="s">
        <v>78</v>
      </c>
      <c r="DC22" s="17" t="s">
        <v>78</v>
      </c>
      <c r="DD22" s="17" t="s">
        <v>78</v>
      </c>
      <c r="DE22" s="60">
        <v>1E-3</v>
      </c>
      <c r="DF22" s="17" t="s">
        <v>78</v>
      </c>
      <c r="DG22" s="17" t="s">
        <v>78</v>
      </c>
      <c r="DH22" s="69" t="s">
        <v>78</v>
      </c>
      <c r="DI22" s="69" t="s">
        <v>78</v>
      </c>
      <c r="DJ22" s="17" t="s">
        <v>78</v>
      </c>
      <c r="DK22" s="17" t="s">
        <v>78</v>
      </c>
      <c r="DL22" s="17" t="s">
        <v>78</v>
      </c>
      <c r="DM22" s="17" t="s">
        <v>78</v>
      </c>
      <c r="DN22" s="17">
        <v>2.7000000000000001E-3</v>
      </c>
      <c r="DO22" s="17" t="s">
        <v>78</v>
      </c>
      <c r="DP22" s="52" t="s">
        <v>78</v>
      </c>
    </row>
    <row r="23" spans="2:122" ht="16.5" x14ac:dyDescent="0.35">
      <c r="B23" s="30"/>
      <c r="C23" s="29"/>
      <c r="D23" s="31"/>
      <c r="E23" s="186" t="s">
        <v>228</v>
      </c>
      <c r="F23" s="189" t="s">
        <v>401</v>
      </c>
      <c r="G23" s="314" t="s">
        <v>234</v>
      </c>
      <c r="H23" s="17" t="s">
        <v>458</v>
      </c>
      <c r="I23" s="203" t="s">
        <v>78</v>
      </c>
      <c r="J23" s="237">
        <f>1.8/10^7</f>
        <v>1.8E-7</v>
      </c>
      <c r="K23" s="238">
        <f>5.6/10^7</f>
        <v>5.5999999999999993E-7</v>
      </c>
      <c r="L23" s="237">
        <f>5.8/10^6</f>
        <v>5.7999999999999995E-6</v>
      </c>
      <c r="M23" s="183" t="s">
        <v>78</v>
      </c>
      <c r="N23" s="238">
        <f>4.1/10^7</f>
        <v>4.0999999999999994E-7</v>
      </c>
      <c r="O23" s="238">
        <f>4.5/10^7</f>
        <v>4.4999999999999998E-7</v>
      </c>
      <c r="P23" s="237">
        <f>5.5/10^6</f>
        <v>5.4999999999999999E-6</v>
      </c>
      <c r="Q23" s="439">
        <f>2.6/10^8</f>
        <v>2.6000000000000001E-8</v>
      </c>
      <c r="R23" s="238">
        <f>3.1/10^6</f>
        <v>3.1E-6</v>
      </c>
      <c r="S23" s="238">
        <f>6.2/10^7</f>
        <v>6.1999999999999999E-7</v>
      </c>
      <c r="T23" s="238">
        <f>7.7/10^6</f>
        <v>7.7000000000000008E-6</v>
      </c>
      <c r="U23" s="238">
        <f>2.4/10^7</f>
        <v>2.3999999999999998E-7</v>
      </c>
      <c r="V23" s="115" t="s">
        <v>78</v>
      </c>
      <c r="W23" s="238">
        <f>6.3/10^5</f>
        <v>6.3E-5</v>
      </c>
      <c r="X23" s="237">
        <f>2.8/10^5</f>
        <v>2.8E-5</v>
      </c>
      <c r="Y23" s="238">
        <f>3.5/10^7</f>
        <v>3.4999999999999998E-7</v>
      </c>
      <c r="Z23" s="183" t="s">
        <v>78</v>
      </c>
      <c r="AA23" s="183" t="s">
        <v>78</v>
      </c>
      <c r="AB23" s="183" t="s">
        <v>78</v>
      </c>
      <c r="AC23" s="239">
        <f>6.1/10^5</f>
        <v>6.0999999999999999E-5</v>
      </c>
      <c r="AD23" s="236">
        <f>1.4/10^6</f>
        <v>1.3999999999999999E-6</v>
      </c>
      <c r="AE23" s="237">
        <f>8.6/10^6</f>
        <v>8.599999999999999E-6</v>
      </c>
      <c r="AF23" s="95" t="s">
        <v>78</v>
      </c>
      <c r="AG23" s="135" t="s">
        <v>78</v>
      </c>
      <c r="AH23" s="95" t="s">
        <v>78</v>
      </c>
      <c r="AI23" s="95" t="s">
        <v>78</v>
      </c>
      <c r="AJ23" s="95" t="s">
        <v>78</v>
      </c>
      <c r="AK23" s="237">
        <f>2.2/10^7</f>
        <v>2.2000000000000001E-7</v>
      </c>
      <c r="AL23" s="238">
        <f>2.1/10^7</f>
        <v>2.1E-7</v>
      </c>
      <c r="AM23" s="23">
        <v>3.8999999999999999E-4</v>
      </c>
      <c r="AN23" s="238">
        <f>9.8/10^9</f>
        <v>9.8000000000000001E-9</v>
      </c>
      <c r="AO23" s="238">
        <f>1/10^7</f>
        <v>9.9999999999999995E-8</v>
      </c>
      <c r="AP23" s="237">
        <f>1.1/10^7</f>
        <v>1.1000000000000001E-7</v>
      </c>
      <c r="AQ23" s="237">
        <f>4/10^8</f>
        <v>4.0000000000000001E-8</v>
      </c>
      <c r="AR23" s="238">
        <f>4.1/10^8</f>
        <v>4.0999999999999997E-8</v>
      </c>
      <c r="AS23" s="95" t="s">
        <v>78</v>
      </c>
      <c r="AT23" s="95" t="s">
        <v>78</v>
      </c>
      <c r="AU23" s="95" t="s">
        <v>78</v>
      </c>
      <c r="AV23" s="60" t="s">
        <v>78</v>
      </c>
      <c r="AW23" s="17" t="s">
        <v>78</v>
      </c>
      <c r="AX23" s="17" t="s">
        <v>78</v>
      </c>
      <c r="AY23" s="17">
        <f>1.8/10^7</f>
        <v>1.8E-7</v>
      </c>
      <c r="AZ23" s="69" t="s">
        <v>78</v>
      </c>
      <c r="BA23" s="17" t="s">
        <v>78</v>
      </c>
      <c r="BB23" s="17" t="s">
        <v>78</v>
      </c>
      <c r="BC23" s="69" t="s">
        <v>78</v>
      </c>
      <c r="BD23" s="69" t="s">
        <v>78</v>
      </c>
      <c r="BE23" s="17" t="s">
        <v>78</v>
      </c>
      <c r="BF23" s="17" t="s">
        <v>78</v>
      </c>
      <c r="BG23" s="17">
        <v>2.4000000000000001E-4</v>
      </c>
      <c r="BH23" s="17" t="s">
        <v>78</v>
      </c>
      <c r="BI23" s="17" t="s">
        <v>78</v>
      </c>
      <c r="BJ23" s="17" t="s">
        <v>78</v>
      </c>
      <c r="BK23" s="237">
        <f>6.1/10^7</f>
        <v>6.0999999999999998E-7</v>
      </c>
      <c r="BL23" s="69">
        <f>3.8/10^6</f>
        <v>3.7999999999999996E-6</v>
      </c>
      <c r="BM23" s="17">
        <v>3.0999999999999999E-3</v>
      </c>
      <c r="BN23" s="17" t="s">
        <v>78</v>
      </c>
      <c r="BO23" s="17" t="s">
        <v>78</v>
      </c>
      <c r="BP23" s="17" t="s">
        <v>78</v>
      </c>
      <c r="BQ23" s="17" t="s">
        <v>78</v>
      </c>
      <c r="BR23" s="17" t="s">
        <v>78</v>
      </c>
      <c r="BS23" s="17" t="s">
        <v>78</v>
      </c>
      <c r="BT23" s="17" t="s">
        <v>78</v>
      </c>
      <c r="BU23" s="17" t="s">
        <v>78</v>
      </c>
      <c r="BV23" s="17" t="s">
        <v>78</v>
      </c>
      <c r="BW23" s="17" t="s">
        <v>78</v>
      </c>
      <c r="BX23" s="17">
        <v>9.2000000000000003E-4</v>
      </c>
      <c r="BY23" s="17" t="s">
        <v>78</v>
      </c>
      <c r="BZ23" s="17" t="s">
        <v>78</v>
      </c>
      <c r="CA23" s="17" t="s">
        <v>78</v>
      </c>
      <c r="CB23" s="238">
        <f>7/10^9</f>
        <v>6.9999999999999998E-9</v>
      </c>
      <c r="CC23" s="17" t="s">
        <v>78</v>
      </c>
      <c r="CD23" s="17" t="s">
        <v>78</v>
      </c>
      <c r="CE23" s="69" t="s">
        <v>78</v>
      </c>
      <c r="CF23" s="238">
        <f>4.8/10^5</f>
        <v>4.8000000000000001E-5</v>
      </c>
      <c r="CG23" s="17" t="s">
        <v>78</v>
      </c>
      <c r="CH23" s="17" t="s">
        <v>78</v>
      </c>
      <c r="CI23" s="17" t="s">
        <v>78</v>
      </c>
      <c r="CJ23" s="237">
        <f>7.4/10^5</f>
        <v>7.400000000000001E-5</v>
      </c>
      <c r="CK23" s="238">
        <f>9/10^5</f>
        <v>9.0000000000000006E-5</v>
      </c>
      <c r="CL23" s="238" t="s">
        <v>78</v>
      </c>
      <c r="CM23" s="238" t="s">
        <v>78</v>
      </c>
      <c r="CN23" s="17" t="s">
        <v>78</v>
      </c>
      <c r="CO23" s="17" t="s">
        <v>78</v>
      </c>
      <c r="CP23" s="17" t="s">
        <v>78</v>
      </c>
      <c r="CQ23" s="17" t="s">
        <v>78</v>
      </c>
      <c r="CR23" s="17" t="s">
        <v>78</v>
      </c>
      <c r="CS23" s="69">
        <f>8.8/10^9</f>
        <v>8.800000000000001E-9</v>
      </c>
      <c r="CT23" s="237">
        <f>7.6/10^6</f>
        <v>7.5999999999999992E-6</v>
      </c>
      <c r="CU23" s="17" t="s">
        <v>78</v>
      </c>
      <c r="CV23" s="69" t="s">
        <v>78</v>
      </c>
      <c r="CW23" s="17" t="s">
        <v>78</v>
      </c>
      <c r="CX23" s="17" t="s">
        <v>78</v>
      </c>
      <c r="CY23" s="237">
        <f>5.4/10^7</f>
        <v>5.4000000000000002E-7</v>
      </c>
      <c r="CZ23" s="69" t="s">
        <v>78</v>
      </c>
      <c r="DA23" s="17" t="s">
        <v>78</v>
      </c>
      <c r="DB23" s="17" t="s">
        <v>78</v>
      </c>
      <c r="DC23" s="17" t="s">
        <v>78</v>
      </c>
      <c r="DD23" s="17" t="s">
        <v>78</v>
      </c>
      <c r="DE23" s="17">
        <v>1.4999999999999999E-4</v>
      </c>
      <c r="DF23" s="17" t="s">
        <v>78</v>
      </c>
      <c r="DG23" s="17" t="s">
        <v>78</v>
      </c>
      <c r="DH23" s="69" t="s">
        <v>78</v>
      </c>
      <c r="DI23" s="237">
        <f>4/10^5</f>
        <v>4.0000000000000003E-5</v>
      </c>
      <c r="DJ23" s="238" t="s">
        <v>78</v>
      </c>
      <c r="DK23" s="238" t="s">
        <v>78</v>
      </c>
      <c r="DL23" s="17" t="s">
        <v>78</v>
      </c>
      <c r="DM23" s="17" t="s">
        <v>78</v>
      </c>
      <c r="DN23" s="23">
        <v>2.0000000000000001E-4</v>
      </c>
      <c r="DO23" s="17" t="s">
        <v>78</v>
      </c>
      <c r="DP23" s="52" t="s">
        <v>78</v>
      </c>
    </row>
    <row r="24" spans="2:122" ht="16.5" x14ac:dyDescent="0.35">
      <c r="B24" s="30"/>
      <c r="C24" s="29"/>
      <c r="D24" s="31"/>
      <c r="E24" s="321" t="s">
        <v>229</v>
      </c>
      <c r="F24" s="189" t="s">
        <v>401</v>
      </c>
      <c r="G24" s="314" t="s">
        <v>234</v>
      </c>
      <c r="H24" s="17" t="s">
        <v>458</v>
      </c>
      <c r="I24" s="203" t="s">
        <v>78</v>
      </c>
      <c r="J24" s="237">
        <f>1.8/10^7</f>
        <v>1.8E-7</v>
      </c>
      <c r="K24" s="238">
        <f>5.6/10^7</f>
        <v>5.5999999999999993E-7</v>
      </c>
      <c r="L24" s="237">
        <f>5.8/10^6</f>
        <v>5.7999999999999995E-6</v>
      </c>
      <c r="M24" s="183" t="s">
        <v>78</v>
      </c>
      <c r="N24" s="238">
        <f>4.1/10^7</f>
        <v>4.0999999999999994E-7</v>
      </c>
      <c r="O24" s="238">
        <f>4.5/10^7</f>
        <v>4.4999999999999998E-7</v>
      </c>
      <c r="P24" s="237">
        <f>5.5/10^6</f>
        <v>5.4999999999999999E-6</v>
      </c>
      <c r="Q24" s="439">
        <f>2.6/10^8</f>
        <v>2.6000000000000001E-8</v>
      </c>
      <c r="R24" s="238">
        <f>3.1/10^6</f>
        <v>3.1E-6</v>
      </c>
      <c r="S24" s="238">
        <f>1.5/10^5</f>
        <v>1.5E-5</v>
      </c>
      <c r="T24" s="238">
        <f>7.7/10^6</f>
        <v>7.7000000000000008E-6</v>
      </c>
      <c r="U24" s="238">
        <f>2.6/10^6</f>
        <v>2.6000000000000001E-6</v>
      </c>
      <c r="V24" s="115" t="s">
        <v>78</v>
      </c>
      <c r="W24" s="238">
        <f>6.3/10^5</f>
        <v>6.3E-5</v>
      </c>
      <c r="X24" s="237">
        <f>2.8/10^5</f>
        <v>2.8E-5</v>
      </c>
      <c r="Y24" s="238">
        <f>3.5/10^7</f>
        <v>3.4999999999999998E-7</v>
      </c>
      <c r="Z24" s="183" t="s">
        <v>78</v>
      </c>
      <c r="AA24" s="183" t="s">
        <v>78</v>
      </c>
      <c r="AB24" s="183" t="s">
        <v>78</v>
      </c>
      <c r="AC24" s="239">
        <f>6.1/10^5</f>
        <v>6.0999999999999999E-5</v>
      </c>
      <c r="AD24" s="236">
        <f>1.4/10^6</f>
        <v>1.3999999999999999E-6</v>
      </c>
      <c r="AE24" s="237">
        <f>2.2/10^5</f>
        <v>2.2000000000000003E-5</v>
      </c>
      <c r="AF24" s="95" t="s">
        <v>78</v>
      </c>
      <c r="AG24" s="135" t="s">
        <v>78</v>
      </c>
      <c r="AH24" s="95" t="s">
        <v>78</v>
      </c>
      <c r="AI24" s="95" t="s">
        <v>78</v>
      </c>
      <c r="AJ24" s="95" t="s">
        <v>78</v>
      </c>
      <c r="AK24" s="237">
        <f>3.1/10^6</f>
        <v>3.1E-6</v>
      </c>
      <c r="AL24" s="238">
        <f>2.1/10^7</f>
        <v>2.1E-7</v>
      </c>
      <c r="AM24" s="23">
        <v>3.8999999999999999E-4</v>
      </c>
      <c r="AN24" s="238">
        <f>9.8/10^9</f>
        <v>9.8000000000000001E-9</v>
      </c>
      <c r="AO24" s="238">
        <f>1/10^7</f>
        <v>9.9999999999999995E-8</v>
      </c>
      <c r="AP24" s="237">
        <f>1.1/10^7</f>
        <v>1.1000000000000001E-7</v>
      </c>
      <c r="AQ24" s="237">
        <f>4/10^8</f>
        <v>4.0000000000000001E-8</v>
      </c>
      <c r="AR24" s="238">
        <f>4.1/10^8</f>
        <v>4.0999999999999997E-8</v>
      </c>
      <c r="AS24" s="95" t="s">
        <v>78</v>
      </c>
      <c r="AT24" s="95" t="s">
        <v>78</v>
      </c>
      <c r="AU24" s="95" t="s">
        <v>78</v>
      </c>
      <c r="AV24" s="60" t="s">
        <v>78</v>
      </c>
      <c r="AW24" s="17" t="s">
        <v>78</v>
      </c>
      <c r="AX24" s="17" t="s">
        <v>78</v>
      </c>
      <c r="AY24" s="17">
        <f>1.8/10^7</f>
        <v>1.8E-7</v>
      </c>
      <c r="AZ24" s="69" t="s">
        <v>78</v>
      </c>
      <c r="BA24" s="17" t="s">
        <v>78</v>
      </c>
      <c r="BB24" s="17" t="s">
        <v>78</v>
      </c>
      <c r="BC24" s="69" t="s">
        <v>78</v>
      </c>
      <c r="BD24" s="69" t="s">
        <v>78</v>
      </c>
      <c r="BE24" s="17" t="s">
        <v>78</v>
      </c>
      <c r="BF24" s="17" t="s">
        <v>78</v>
      </c>
      <c r="BG24" s="17">
        <v>2.4000000000000001E-4</v>
      </c>
      <c r="BH24" s="17" t="s">
        <v>78</v>
      </c>
      <c r="BI24" s="17" t="s">
        <v>78</v>
      </c>
      <c r="BJ24" s="17" t="s">
        <v>78</v>
      </c>
      <c r="BK24" s="237">
        <f>6.1/10^7</f>
        <v>6.0999999999999998E-7</v>
      </c>
      <c r="BL24" s="237">
        <f>1.1/10^5</f>
        <v>1.1000000000000001E-5</v>
      </c>
      <c r="BM24" s="17">
        <v>3.0999999999999999E-3</v>
      </c>
      <c r="BN24" s="17" t="s">
        <v>78</v>
      </c>
      <c r="BO24" s="17" t="s">
        <v>78</v>
      </c>
      <c r="BP24" s="17" t="s">
        <v>78</v>
      </c>
      <c r="BQ24" s="17" t="s">
        <v>78</v>
      </c>
      <c r="BR24" s="17" t="s">
        <v>78</v>
      </c>
      <c r="BS24" s="17" t="s">
        <v>78</v>
      </c>
      <c r="BT24" s="17" t="s">
        <v>78</v>
      </c>
      <c r="BU24" s="17" t="s">
        <v>78</v>
      </c>
      <c r="BV24" s="17" t="s">
        <v>78</v>
      </c>
      <c r="BW24" s="17" t="s">
        <v>78</v>
      </c>
      <c r="BX24" s="17">
        <v>9.2000000000000003E-4</v>
      </c>
      <c r="BY24" s="17" t="s">
        <v>78</v>
      </c>
      <c r="BZ24" s="17" t="s">
        <v>78</v>
      </c>
      <c r="CA24" s="17" t="s">
        <v>78</v>
      </c>
      <c r="CB24" s="238">
        <f>7/10^9</f>
        <v>6.9999999999999998E-9</v>
      </c>
      <c r="CC24" s="17" t="s">
        <v>78</v>
      </c>
      <c r="CD24" s="17" t="s">
        <v>78</v>
      </c>
      <c r="CE24" s="69" t="s">
        <v>78</v>
      </c>
      <c r="CF24" s="238">
        <f>4.8/10^5</f>
        <v>4.8000000000000001E-5</v>
      </c>
      <c r="CG24" s="17" t="s">
        <v>78</v>
      </c>
      <c r="CH24" s="17" t="s">
        <v>78</v>
      </c>
      <c r="CI24" s="17" t="s">
        <v>78</v>
      </c>
      <c r="CJ24" s="69">
        <v>1.7000000000000001E-4</v>
      </c>
      <c r="CK24" s="17">
        <v>6.4999999999999997E-4</v>
      </c>
      <c r="CL24" s="17" t="s">
        <v>78</v>
      </c>
      <c r="CM24" s="17" t="s">
        <v>78</v>
      </c>
      <c r="CN24" s="17" t="s">
        <v>78</v>
      </c>
      <c r="CO24" s="17" t="s">
        <v>78</v>
      </c>
      <c r="CP24" s="17" t="s">
        <v>78</v>
      </c>
      <c r="CQ24" s="17" t="s">
        <v>78</v>
      </c>
      <c r="CR24" s="17" t="s">
        <v>78</v>
      </c>
      <c r="CS24" s="69">
        <f>8.8/10^9</f>
        <v>8.800000000000001E-9</v>
      </c>
      <c r="CT24" s="237">
        <f>2.3/10^5</f>
        <v>2.2999999999999997E-5</v>
      </c>
      <c r="CU24" s="17" t="s">
        <v>78</v>
      </c>
      <c r="CV24" s="69" t="s">
        <v>78</v>
      </c>
      <c r="CW24" s="17" t="s">
        <v>78</v>
      </c>
      <c r="CX24" s="17" t="s">
        <v>78</v>
      </c>
      <c r="CY24" s="237">
        <f>3/10^6</f>
        <v>3.0000000000000001E-6</v>
      </c>
      <c r="CZ24" s="69" t="s">
        <v>78</v>
      </c>
      <c r="DA24" s="17" t="s">
        <v>78</v>
      </c>
      <c r="DB24" s="17" t="s">
        <v>78</v>
      </c>
      <c r="DC24" s="17" t="s">
        <v>78</v>
      </c>
      <c r="DD24" s="17" t="s">
        <v>78</v>
      </c>
      <c r="DE24" s="17">
        <v>2.8999999999999998E-3</v>
      </c>
      <c r="DF24" s="17" t="s">
        <v>78</v>
      </c>
      <c r="DG24" s="17" t="s">
        <v>78</v>
      </c>
      <c r="DH24" s="69" t="s">
        <v>78</v>
      </c>
      <c r="DI24" s="237">
        <f>4/10^5</f>
        <v>4.0000000000000003E-5</v>
      </c>
      <c r="DJ24" s="238" t="s">
        <v>78</v>
      </c>
      <c r="DK24" s="238" t="s">
        <v>78</v>
      </c>
      <c r="DL24" s="17" t="s">
        <v>78</v>
      </c>
      <c r="DM24" s="17" t="s">
        <v>78</v>
      </c>
      <c r="DN24" s="23">
        <v>2.0000000000000001E-4</v>
      </c>
      <c r="DO24" s="17" t="s">
        <v>78</v>
      </c>
      <c r="DP24" s="52" t="s">
        <v>78</v>
      </c>
    </row>
    <row r="25" spans="2:122" ht="16.5" x14ac:dyDescent="0.35">
      <c r="B25" s="30"/>
      <c r="C25" s="29"/>
      <c r="D25" s="31"/>
      <c r="E25" s="321" t="s">
        <v>230</v>
      </c>
      <c r="F25" s="189" t="s">
        <v>401</v>
      </c>
      <c r="G25" s="314" t="s">
        <v>234</v>
      </c>
      <c r="H25" s="17" t="s">
        <v>458</v>
      </c>
      <c r="I25" s="203" t="s">
        <v>78</v>
      </c>
      <c r="J25" s="237">
        <f>1.8/10^7</f>
        <v>1.8E-7</v>
      </c>
      <c r="K25" s="238">
        <f>5.6/10^7</f>
        <v>5.5999999999999993E-7</v>
      </c>
      <c r="L25" s="237">
        <f>5.8/10^6</f>
        <v>5.7999999999999995E-6</v>
      </c>
      <c r="M25" s="183" t="s">
        <v>78</v>
      </c>
      <c r="N25" s="238">
        <f>4.1/10^7</f>
        <v>4.0999999999999994E-7</v>
      </c>
      <c r="O25" s="238">
        <f>4.5/10^7</f>
        <v>4.4999999999999998E-7</v>
      </c>
      <c r="P25" s="237">
        <f>5.5/10^6</f>
        <v>5.4999999999999999E-6</v>
      </c>
      <c r="Q25" s="439">
        <f>2.6/10^8</f>
        <v>2.6000000000000001E-8</v>
      </c>
      <c r="R25" s="238">
        <f>3.1/10^6</f>
        <v>3.1E-6</v>
      </c>
      <c r="S25" s="238">
        <f>1.5/10^5</f>
        <v>1.5E-5</v>
      </c>
      <c r="T25" s="238">
        <f>7.7/10^6</f>
        <v>7.7000000000000008E-6</v>
      </c>
      <c r="U25" s="238">
        <f>2.6/10^6</f>
        <v>2.6000000000000001E-6</v>
      </c>
      <c r="V25" s="115" t="s">
        <v>78</v>
      </c>
      <c r="W25" s="238">
        <f>6.3/10^5</f>
        <v>6.3E-5</v>
      </c>
      <c r="X25" s="237">
        <f>2.8/10^5</f>
        <v>2.8E-5</v>
      </c>
      <c r="Y25" s="238">
        <f>3.5/10^7</f>
        <v>3.4999999999999998E-7</v>
      </c>
      <c r="Z25" s="183" t="s">
        <v>78</v>
      </c>
      <c r="AA25" s="183" t="s">
        <v>78</v>
      </c>
      <c r="AB25" s="183" t="s">
        <v>78</v>
      </c>
      <c r="AC25" s="239">
        <f>6.1/10^5</f>
        <v>6.0999999999999999E-5</v>
      </c>
      <c r="AD25" s="155" t="s">
        <v>78</v>
      </c>
      <c r="AE25" s="135" t="s">
        <v>78</v>
      </c>
      <c r="AF25" s="95" t="s">
        <v>78</v>
      </c>
      <c r="AG25" s="135" t="s">
        <v>78</v>
      </c>
      <c r="AH25" s="95" t="s">
        <v>78</v>
      </c>
      <c r="AI25" s="95" t="s">
        <v>78</v>
      </c>
      <c r="AJ25" s="95" t="s">
        <v>78</v>
      </c>
      <c r="AK25" s="135" t="s">
        <v>78</v>
      </c>
      <c r="AL25" s="95" t="s">
        <v>78</v>
      </c>
      <c r="AM25" s="95" t="s">
        <v>78</v>
      </c>
      <c r="AN25" s="95" t="s">
        <v>78</v>
      </c>
      <c r="AO25" s="95" t="s">
        <v>78</v>
      </c>
      <c r="AP25" s="135" t="s">
        <v>78</v>
      </c>
      <c r="AQ25" s="135" t="s">
        <v>78</v>
      </c>
      <c r="AR25" s="95" t="s">
        <v>78</v>
      </c>
      <c r="AS25" s="95" t="s">
        <v>78</v>
      </c>
      <c r="AT25" s="95" t="s">
        <v>78</v>
      </c>
      <c r="AU25" s="95" t="s">
        <v>78</v>
      </c>
      <c r="AV25" s="60" t="s">
        <v>78</v>
      </c>
      <c r="AW25" s="17" t="s">
        <v>78</v>
      </c>
      <c r="AX25" s="17" t="s">
        <v>78</v>
      </c>
      <c r="AY25" s="17" t="s">
        <v>78</v>
      </c>
      <c r="AZ25" s="69" t="s">
        <v>78</v>
      </c>
      <c r="BA25" s="17" t="s">
        <v>78</v>
      </c>
      <c r="BB25" s="17" t="s">
        <v>78</v>
      </c>
      <c r="BC25" s="69" t="s">
        <v>78</v>
      </c>
      <c r="BD25" s="69" t="s">
        <v>78</v>
      </c>
      <c r="BE25" s="17" t="s">
        <v>78</v>
      </c>
      <c r="BF25" s="17" t="s">
        <v>78</v>
      </c>
      <c r="BG25" s="17" t="s">
        <v>78</v>
      </c>
      <c r="BH25" s="17" t="s">
        <v>78</v>
      </c>
      <c r="BI25" s="17" t="s">
        <v>78</v>
      </c>
      <c r="BJ25" s="17" t="s">
        <v>78</v>
      </c>
      <c r="BK25" s="69" t="s">
        <v>78</v>
      </c>
      <c r="BL25" s="69" t="s">
        <v>78</v>
      </c>
      <c r="BM25" s="17" t="s">
        <v>78</v>
      </c>
      <c r="BN25" s="17">
        <f>4.8/10^12</f>
        <v>4.7999999999999997E-12</v>
      </c>
      <c r="BO25" s="17">
        <v>6.5000000000000002E-12</v>
      </c>
      <c r="BP25" s="17">
        <v>2.7000000000000002E-12</v>
      </c>
      <c r="BQ25" s="17">
        <f>4.2/10^13</f>
        <v>4.2000000000000003E-13</v>
      </c>
      <c r="BR25" s="17">
        <f>1.3/10^12</f>
        <v>1.3000000000000001E-12</v>
      </c>
      <c r="BS25" s="17">
        <f>9.8/10^13</f>
        <v>9.8000000000000007E-13</v>
      </c>
      <c r="BT25" s="238">
        <v>3.9999999999999999E-12</v>
      </c>
      <c r="BU25" s="17">
        <v>1.1999999999999999E-12</v>
      </c>
      <c r="BV25" s="17">
        <v>8.3999999999999998E-12</v>
      </c>
      <c r="BW25" s="17">
        <v>1.9E-12</v>
      </c>
      <c r="BX25" s="17" t="s">
        <v>78</v>
      </c>
      <c r="BY25" s="17" t="s">
        <v>78</v>
      </c>
      <c r="BZ25" s="17" t="s">
        <v>78</v>
      </c>
      <c r="CA25" s="17" t="s">
        <v>78</v>
      </c>
      <c r="CB25" s="17" t="s">
        <v>78</v>
      </c>
      <c r="CC25" s="17" t="s">
        <v>78</v>
      </c>
      <c r="CD25" s="17" t="s">
        <v>78</v>
      </c>
      <c r="CE25" s="69" t="s">
        <v>78</v>
      </c>
      <c r="CF25" s="17" t="s">
        <v>78</v>
      </c>
      <c r="CG25" s="17" t="s">
        <v>78</v>
      </c>
      <c r="CH25" s="17" t="s">
        <v>78</v>
      </c>
      <c r="CI25" s="17" t="s">
        <v>78</v>
      </c>
      <c r="CJ25" s="69" t="s">
        <v>78</v>
      </c>
      <c r="CK25" s="17" t="s">
        <v>78</v>
      </c>
      <c r="CL25" s="17">
        <f>2.5/10^11</f>
        <v>2.5000000000000001E-11</v>
      </c>
      <c r="CM25" s="17">
        <v>4.7999999999999997E-12</v>
      </c>
      <c r="CN25" s="17" t="s">
        <v>78</v>
      </c>
      <c r="CO25" s="17">
        <f>3.1/10^13</f>
        <v>3.0999999999999999E-13</v>
      </c>
      <c r="CP25" s="17">
        <v>4.2999999999999999E-12</v>
      </c>
      <c r="CQ25" s="17">
        <v>8.4000000000000006E-13</v>
      </c>
      <c r="CR25" s="17" t="s">
        <v>78</v>
      </c>
      <c r="CS25" s="69" t="s">
        <v>78</v>
      </c>
      <c r="CT25" s="69" t="s">
        <v>78</v>
      </c>
      <c r="CU25" s="17" t="s">
        <v>78</v>
      </c>
      <c r="CV25" s="69" t="s">
        <v>78</v>
      </c>
      <c r="CW25" s="17" t="s">
        <v>78</v>
      </c>
      <c r="CX25" s="17" t="s">
        <v>78</v>
      </c>
      <c r="CY25" s="69" t="s">
        <v>78</v>
      </c>
      <c r="CZ25" s="69" t="s">
        <v>78</v>
      </c>
      <c r="DA25" s="17" t="s">
        <v>78</v>
      </c>
      <c r="DB25" s="17">
        <f>2.1/10^13</f>
        <v>2.1000000000000001E-13</v>
      </c>
      <c r="DC25" s="17">
        <v>9.6999999999999991E-13</v>
      </c>
      <c r="DD25" s="17" t="s">
        <v>78</v>
      </c>
      <c r="DE25" s="17" t="s">
        <v>78</v>
      </c>
      <c r="DF25" s="17" t="s">
        <v>78</v>
      </c>
      <c r="DG25" s="17" t="s">
        <v>78</v>
      </c>
      <c r="DH25" s="69" t="s">
        <v>78</v>
      </c>
      <c r="DI25" s="69" t="s">
        <v>78</v>
      </c>
      <c r="DJ25" s="204">
        <f>7.9/10^11-CO25-CL25-BS25-BR25-BQ25-BN25</f>
        <v>4.6190000000000004E-11</v>
      </c>
      <c r="DK25" s="95">
        <f>4/10^11-DC25-CQ25-CP25-CM25-BW25-BV25-BU25-BT25-BP25-BO25</f>
        <v>4.3900000000000005E-12</v>
      </c>
      <c r="DL25" s="17" t="s">
        <v>78</v>
      </c>
      <c r="DM25" s="17" t="s">
        <v>78</v>
      </c>
      <c r="DN25" s="17" t="s">
        <v>78</v>
      </c>
      <c r="DO25" s="17" t="s">
        <v>78</v>
      </c>
      <c r="DP25" s="52" t="s">
        <v>78</v>
      </c>
    </row>
    <row r="26" spans="2:122" ht="16.5" x14ac:dyDescent="0.35">
      <c r="B26" s="30"/>
      <c r="C26" s="29"/>
      <c r="D26" s="31"/>
      <c r="E26" s="321" t="s">
        <v>231</v>
      </c>
      <c r="F26" s="189" t="s">
        <v>450</v>
      </c>
      <c r="G26" s="314" t="s">
        <v>234</v>
      </c>
      <c r="H26" s="17" t="s">
        <v>458</v>
      </c>
      <c r="I26" s="203" t="s">
        <v>78</v>
      </c>
      <c r="J26" s="98" t="s">
        <v>78</v>
      </c>
      <c r="K26" s="238">
        <f>1.3/10^6</f>
        <v>1.3E-6</v>
      </c>
      <c r="L26" s="111">
        <v>2.5000000000000001E-4</v>
      </c>
      <c r="M26" s="183" t="s">
        <v>78</v>
      </c>
      <c r="N26" s="238">
        <f>4.2/10^6</f>
        <v>4.2000000000000004E-6</v>
      </c>
      <c r="O26" s="238">
        <f>0.5%*P26</f>
        <v>1.2000000000000002E-7</v>
      </c>
      <c r="P26" s="237">
        <f>2.4/10^5</f>
        <v>2.4000000000000001E-5</v>
      </c>
      <c r="Q26" s="439">
        <f>1.5/10^5</f>
        <v>1.5E-5</v>
      </c>
      <c r="R26" s="23">
        <v>1.7000000000000001E-4</v>
      </c>
      <c r="S26" s="23">
        <v>5.4000000000000001E-4</v>
      </c>
      <c r="T26" s="23">
        <v>6.4999999999999997E-4</v>
      </c>
      <c r="U26" s="183" t="s">
        <v>78</v>
      </c>
      <c r="V26" s="115" t="s">
        <v>78</v>
      </c>
      <c r="W26" s="60">
        <v>1.2999999999999999E-3</v>
      </c>
      <c r="X26" s="98">
        <v>1.1999999999999999E-3</v>
      </c>
      <c r="Y26" s="238">
        <f>2.4/10^6</f>
        <v>2.3999999999999999E-6</v>
      </c>
      <c r="Z26" s="183" t="s">
        <v>78</v>
      </c>
      <c r="AA26" s="183" t="s">
        <v>78</v>
      </c>
      <c r="AB26" s="183" t="s">
        <v>78</v>
      </c>
      <c r="AC26" s="242">
        <v>1.8000000000000001E-4</v>
      </c>
      <c r="AD26" s="155" t="s">
        <v>78</v>
      </c>
      <c r="AE26" s="135" t="s">
        <v>78</v>
      </c>
      <c r="AF26" s="95" t="s">
        <v>78</v>
      </c>
      <c r="AG26" s="135" t="s">
        <v>78</v>
      </c>
      <c r="AH26" s="95" t="s">
        <v>78</v>
      </c>
      <c r="AI26" s="95" t="s">
        <v>78</v>
      </c>
      <c r="AJ26" s="95" t="s">
        <v>78</v>
      </c>
      <c r="AK26" s="135" t="s">
        <v>78</v>
      </c>
      <c r="AL26" s="95" t="s">
        <v>78</v>
      </c>
      <c r="AM26" s="95" t="s">
        <v>78</v>
      </c>
      <c r="AN26" s="95" t="s">
        <v>78</v>
      </c>
      <c r="AO26" s="95" t="s">
        <v>78</v>
      </c>
      <c r="AP26" s="135" t="s">
        <v>78</v>
      </c>
      <c r="AQ26" s="135" t="s">
        <v>78</v>
      </c>
      <c r="AR26" s="95" t="s">
        <v>78</v>
      </c>
      <c r="AS26" s="95" t="s">
        <v>78</v>
      </c>
      <c r="AT26" s="95" t="s">
        <v>78</v>
      </c>
      <c r="AU26" s="95" t="s">
        <v>78</v>
      </c>
      <c r="AV26" s="60" t="s">
        <v>78</v>
      </c>
      <c r="AW26" s="17" t="s">
        <v>78</v>
      </c>
      <c r="AX26" s="17" t="s">
        <v>78</v>
      </c>
      <c r="AY26" s="17" t="s">
        <v>78</v>
      </c>
      <c r="AZ26" s="69" t="s">
        <v>78</v>
      </c>
      <c r="BA26" s="17" t="s">
        <v>78</v>
      </c>
      <c r="BB26" s="17" t="s">
        <v>78</v>
      </c>
      <c r="BC26" s="69" t="s">
        <v>78</v>
      </c>
      <c r="BD26" s="69" t="s">
        <v>78</v>
      </c>
      <c r="BE26" s="17" t="s">
        <v>78</v>
      </c>
      <c r="BF26" s="17" t="s">
        <v>78</v>
      </c>
      <c r="BG26" s="17" t="s">
        <v>78</v>
      </c>
      <c r="BH26" s="17" t="s">
        <v>78</v>
      </c>
      <c r="BI26" s="17" t="s">
        <v>78</v>
      </c>
      <c r="BJ26" s="17" t="s">
        <v>78</v>
      </c>
      <c r="BK26" s="69" t="s">
        <v>78</v>
      </c>
      <c r="BL26" s="69" t="s">
        <v>78</v>
      </c>
      <c r="BM26" s="17" t="s">
        <v>78</v>
      </c>
      <c r="BN26" s="17">
        <f>3.4/10^11</f>
        <v>3.3999999999999999E-11</v>
      </c>
      <c r="BO26" s="17">
        <f>1.1/10^11</f>
        <v>1.1000000000000001E-11</v>
      </c>
      <c r="BP26" s="17" t="s">
        <v>78</v>
      </c>
      <c r="BQ26" s="17" t="s">
        <v>78</v>
      </c>
      <c r="BR26" s="17" t="s">
        <v>78</v>
      </c>
      <c r="BS26" s="17" t="s">
        <v>78</v>
      </c>
      <c r="BT26" s="17">
        <f>5.4/10^12</f>
        <v>5.4000000000000004E-12</v>
      </c>
      <c r="BU26" s="17" t="s">
        <v>78</v>
      </c>
      <c r="BV26" s="17" t="s">
        <v>78</v>
      </c>
      <c r="BW26" s="17">
        <f>1.6/10^12</f>
        <v>1.6E-12</v>
      </c>
      <c r="BX26" s="17" t="s">
        <v>78</v>
      </c>
      <c r="BY26" s="17" t="s">
        <v>78</v>
      </c>
      <c r="BZ26" s="17" t="s">
        <v>78</v>
      </c>
      <c r="CA26" s="17" t="s">
        <v>78</v>
      </c>
      <c r="CB26" s="17" t="s">
        <v>78</v>
      </c>
      <c r="CC26" s="17" t="s">
        <v>78</v>
      </c>
      <c r="CD26" s="17" t="s">
        <v>78</v>
      </c>
      <c r="CE26" s="69" t="s">
        <v>78</v>
      </c>
      <c r="CF26" s="17" t="s">
        <v>78</v>
      </c>
      <c r="CG26" s="17" t="s">
        <v>78</v>
      </c>
      <c r="CH26" s="17" t="s">
        <v>78</v>
      </c>
      <c r="CI26" s="17" t="s">
        <v>78</v>
      </c>
      <c r="CJ26" s="69" t="s">
        <v>78</v>
      </c>
      <c r="CK26" s="17" t="s">
        <v>78</v>
      </c>
      <c r="CL26" s="17">
        <f>2.7/10^9</f>
        <v>2.7000000000000002E-9</v>
      </c>
      <c r="CM26" s="17" t="s">
        <v>78</v>
      </c>
      <c r="CN26" s="17" t="s">
        <v>78</v>
      </c>
      <c r="CO26" s="17" t="s">
        <v>78</v>
      </c>
      <c r="CP26" s="17" t="s">
        <v>78</v>
      </c>
      <c r="CQ26" s="17" t="s">
        <v>78</v>
      </c>
      <c r="CR26" s="17" t="s">
        <v>78</v>
      </c>
      <c r="CS26" s="69" t="s">
        <v>78</v>
      </c>
      <c r="CT26" s="69" t="s">
        <v>78</v>
      </c>
      <c r="CU26" s="17" t="s">
        <v>78</v>
      </c>
      <c r="CV26" s="69" t="s">
        <v>78</v>
      </c>
      <c r="CW26" s="17" t="s">
        <v>78</v>
      </c>
      <c r="CX26" s="17" t="s">
        <v>78</v>
      </c>
      <c r="CY26" s="69" t="s">
        <v>78</v>
      </c>
      <c r="CZ26" s="69" t="s">
        <v>78</v>
      </c>
      <c r="DA26" s="17" t="s">
        <v>78</v>
      </c>
      <c r="DB26" s="17" t="s">
        <v>78</v>
      </c>
      <c r="DC26" s="17" t="s">
        <v>78</v>
      </c>
      <c r="DD26" s="17" t="s">
        <v>78</v>
      </c>
      <c r="DE26" s="17" t="s">
        <v>78</v>
      </c>
      <c r="DF26" s="17" t="s">
        <v>78</v>
      </c>
      <c r="DG26" s="17" t="s">
        <v>78</v>
      </c>
      <c r="DH26" s="69" t="s">
        <v>78</v>
      </c>
      <c r="DI26" s="69" t="s">
        <v>78</v>
      </c>
      <c r="DJ26" s="238">
        <f>2.8/10^9-CL26-BN26</f>
        <v>6.5999999999999656E-11</v>
      </c>
      <c r="DK26" s="204">
        <f>1.5/10^10-BW26-BT26-BO26</f>
        <v>1.3200000000000001E-10</v>
      </c>
      <c r="DL26" s="17" t="s">
        <v>78</v>
      </c>
      <c r="DM26" s="17" t="s">
        <v>78</v>
      </c>
      <c r="DN26" s="17" t="s">
        <v>78</v>
      </c>
      <c r="DO26" s="17" t="s">
        <v>78</v>
      </c>
      <c r="DP26" s="52" t="s">
        <v>78</v>
      </c>
    </row>
    <row r="27" spans="2:122" ht="16.5" x14ac:dyDescent="0.35">
      <c r="B27" s="30"/>
      <c r="C27" s="29"/>
      <c r="D27" s="31"/>
      <c r="E27" s="186" t="s">
        <v>232</v>
      </c>
      <c r="F27" s="189" t="s">
        <v>401</v>
      </c>
      <c r="G27" s="314" t="s">
        <v>234</v>
      </c>
      <c r="H27" s="17" t="s">
        <v>458</v>
      </c>
      <c r="I27" s="203" t="s">
        <v>78</v>
      </c>
      <c r="J27" s="237">
        <f>1.8/10^7</f>
        <v>1.8E-7</v>
      </c>
      <c r="K27" s="238">
        <f>5.6/10^7</f>
        <v>5.5999999999999993E-7</v>
      </c>
      <c r="L27" s="237">
        <f>5.8/10^6</f>
        <v>5.7999999999999995E-6</v>
      </c>
      <c r="M27" s="183" t="s">
        <v>78</v>
      </c>
      <c r="N27" s="238">
        <f>4.1/10^7</f>
        <v>4.0999999999999994E-7</v>
      </c>
      <c r="O27" s="238">
        <f>4.5/10^7</f>
        <v>4.4999999999999998E-7</v>
      </c>
      <c r="P27" s="237">
        <f>5.5/10^6</f>
        <v>5.4999999999999999E-6</v>
      </c>
      <c r="Q27" s="439">
        <f>2.6/10^8</f>
        <v>2.6000000000000001E-8</v>
      </c>
      <c r="R27" s="238">
        <f>3.1/10^6</f>
        <v>3.1E-6</v>
      </c>
      <c r="S27" s="238">
        <f>1.5/10^5</f>
        <v>1.5E-5</v>
      </c>
      <c r="T27" s="238">
        <f>7.7/10^6</f>
        <v>7.7000000000000008E-6</v>
      </c>
      <c r="U27" s="238">
        <f>2.6/10^6</f>
        <v>2.6000000000000001E-6</v>
      </c>
      <c r="V27" s="115" t="s">
        <v>78</v>
      </c>
      <c r="W27" s="238">
        <f>6.3/10^5</f>
        <v>6.3E-5</v>
      </c>
      <c r="X27" s="237">
        <f>2.8/10^5</f>
        <v>2.8E-5</v>
      </c>
      <c r="Y27" s="238">
        <f>3.5/10^7</f>
        <v>3.4999999999999998E-7</v>
      </c>
      <c r="Z27" s="183" t="s">
        <v>78</v>
      </c>
      <c r="AA27" s="183" t="s">
        <v>78</v>
      </c>
      <c r="AB27" s="183" t="s">
        <v>78</v>
      </c>
      <c r="AC27" s="239">
        <f>6.1/10^5</f>
        <v>6.0999999999999999E-5</v>
      </c>
      <c r="AD27" s="236">
        <f>1.4/10^6</f>
        <v>1.3999999999999999E-6</v>
      </c>
      <c r="AE27" s="237">
        <f>2.2/10^5</f>
        <v>2.2000000000000003E-5</v>
      </c>
      <c r="AF27" s="60">
        <v>1.2999999999999999E-3</v>
      </c>
      <c r="AG27" s="135" t="s">
        <v>78</v>
      </c>
      <c r="AH27" s="238">
        <f>2.6/10^5</f>
        <v>2.6000000000000002E-5</v>
      </c>
      <c r="AI27" s="95" t="s">
        <v>78</v>
      </c>
      <c r="AJ27" s="95" t="s">
        <v>78</v>
      </c>
      <c r="AK27" s="237">
        <f>3.1/10^6</f>
        <v>3.1E-6</v>
      </c>
      <c r="AL27" s="238">
        <f>2.1/10^7</f>
        <v>2.1E-7</v>
      </c>
      <c r="AM27" s="23">
        <v>3.8999999999999999E-4</v>
      </c>
      <c r="AN27" s="238">
        <f>9.8/10^9</f>
        <v>9.8000000000000001E-9</v>
      </c>
      <c r="AO27" s="238">
        <f>1/10^7</f>
        <v>9.9999999999999995E-8</v>
      </c>
      <c r="AP27" s="237">
        <f>1.1/10^7</f>
        <v>1.1000000000000001E-7</v>
      </c>
      <c r="AQ27" s="237">
        <f>4/10^8</f>
        <v>4.0000000000000001E-8</v>
      </c>
      <c r="AR27" s="238">
        <f>4.1/10^8</f>
        <v>4.0999999999999997E-8</v>
      </c>
      <c r="AS27" s="95" t="s">
        <v>78</v>
      </c>
      <c r="AT27" s="95" t="s">
        <v>78</v>
      </c>
      <c r="AU27" s="95" t="s">
        <v>78</v>
      </c>
      <c r="AV27" s="60" t="s">
        <v>78</v>
      </c>
      <c r="AW27" s="17" t="s">
        <v>78</v>
      </c>
      <c r="AX27" s="17" t="s">
        <v>78</v>
      </c>
      <c r="AY27" s="17">
        <f>1.8/10^7</f>
        <v>1.8E-7</v>
      </c>
      <c r="AZ27" s="69" t="s">
        <v>78</v>
      </c>
      <c r="BA27" s="17" t="s">
        <v>78</v>
      </c>
      <c r="BB27" s="17" t="s">
        <v>78</v>
      </c>
      <c r="BC27" s="69" t="s">
        <v>78</v>
      </c>
      <c r="BD27" s="69" t="s">
        <v>78</v>
      </c>
      <c r="BE27" s="17" t="s">
        <v>78</v>
      </c>
      <c r="BF27" s="17" t="s">
        <v>78</v>
      </c>
      <c r="BG27" s="17">
        <v>2.4000000000000001E-4</v>
      </c>
      <c r="BH27" s="17" t="s">
        <v>78</v>
      </c>
      <c r="BI27" s="17" t="s">
        <v>78</v>
      </c>
      <c r="BJ27" s="17" t="s">
        <v>78</v>
      </c>
      <c r="BK27" s="237">
        <f>6.1/10^7</f>
        <v>6.0999999999999998E-7</v>
      </c>
      <c r="BL27" s="237">
        <f>1.1/10^5</f>
        <v>1.1000000000000001E-5</v>
      </c>
      <c r="BM27" s="17">
        <v>3.0999999999999999E-3</v>
      </c>
      <c r="BN27" s="17" t="s">
        <v>78</v>
      </c>
      <c r="BO27" s="17" t="s">
        <v>78</v>
      </c>
      <c r="BP27" s="17" t="s">
        <v>78</v>
      </c>
      <c r="BQ27" s="17" t="s">
        <v>78</v>
      </c>
      <c r="BR27" s="17" t="s">
        <v>78</v>
      </c>
      <c r="BS27" s="17" t="s">
        <v>78</v>
      </c>
      <c r="BT27" s="17" t="s">
        <v>78</v>
      </c>
      <c r="BU27" s="17" t="s">
        <v>78</v>
      </c>
      <c r="BV27" s="17" t="s">
        <v>78</v>
      </c>
      <c r="BW27" s="17" t="s">
        <v>78</v>
      </c>
      <c r="BX27" s="17">
        <v>9.2000000000000003E-4</v>
      </c>
      <c r="BY27" s="17" t="s">
        <v>78</v>
      </c>
      <c r="BZ27" s="17" t="s">
        <v>78</v>
      </c>
      <c r="CA27" s="17" t="s">
        <v>78</v>
      </c>
      <c r="CB27" s="238">
        <f>7/10^9</f>
        <v>6.9999999999999998E-9</v>
      </c>
      <c r="CC27" s="17" t="s">
        <v>78</v>
      </c>
      <c r="CD27" s="17" t="s">
        <v>78</v>
      </c>
      <c r="CE27" s="69" t="s">
        <v>78</v>
      </c>
      <c r="CF27" s="238">
        <f>4.8/10^5</f>
        <v>4.8000000000000001E-5</v>
      </c>
      <c r="CG27" s="238">
        <f>2/10^5</f>
        <v>2.0000000000000002E-5</v>
      </c>
      <c r="CH27" s="17" t="s">
        <v>78</v>
      </c>
      <c r="CI27" s="17" t="s">
        <v>78</v>
      </c>
      <c r="CJ27" s="69">
        <v>1.7000000000000001E-4</v>
      </c>
      <c r="CK27" s="17">
        <v>6.4999999999999997E-4</v>
      </c>
      <c r="CL27" s="17" t="s">
        <v>78</v>
      </c>
      <c r="CM27" s="17" t="s">
        <v>78</v>
      </c>
      <c r="CN27" s="17" t="s">
        <v>78</v>
      </c>
      <c r="CO27" s="17" t="s">
        <v>78</v>
      </c>
      <c r="CP27" s="17" t="s">
        <v>78</v>
      </c>
      <c r="CQ27" s="17" t="s">
        <v>78</v>
      </c>
      <c r="CR27" s="17" t="s">
        <v>78</v>
      </c>
      <c r="CS27" s="69">
        <f>8.8/10^9</f>
        <v>8.800000000000001E-9</v>
      </c>
      <c r="CT27" s="237">
        <f>2.3/10^5</f>
        <v>2.2999999999999997E-5</v>
      </c>
      <c r="CU27" s="17" t="s">
        <v>78</v>
      </c>
      <c r="CV27" s="69">
        <v>1.2999999999999999E-4</v>
      </c>
      <c r="CW27" s="17" t="s">
        <v>78</v>
      </c>
      <c r="CX27" s="17" t="s">
        <v>78</v>
      </c>
      <c r="CY27" s="237">
        <f>3/10^6</f>
        <v>3.0000000000000001E-6</v>
      </c>
      <c r="CZ27" s="69">
        <v>1.6000000000000001E-4</v>
      </c>
      <c r="DA27" s="17" t="s">
        <v>78</v>
      </c>
      <c r="DB27" s="17" t="s">
        <v>78</v>
      </c>
      <c r="DC27" s="17" t="s">
        <v>78</v>
      </c>
      <c r="DD27" s="17" t="s">
        <v>78</v>
      </c>
      <c r="DE27" s="17">
        <v>2.8999999999999998E-3</v>
      </c>
      <c r="DF27" s="17" t="s">
        <v>78</v>
      </c>
      <c r="DG27" s="17" t="s">
        <v>78</v>
      </c>
      <c r="DH27" s="69" t="s">
        <v>78</v>
      </c>
      <c r="DI27" s="237">
        <f>4/10^5</f>
        <v>4.0000000000000003E-5</v>
      </c>
      <c r="DJ27" s="238" t="s">
        <v>78</v>
      </c>
      <c r="DK27" s="238" t="s">
        <v>78</v>
      </c>
      <c r="DL27" s="17" t="s">
        <v>78</v>
      </c>
      <c r="DM27" s="17" t="s">
        <v>78</v>
      </c>
      <c r="DN27" s="60">
        <v>2E-3</v>
      </c>
      <c r="DO27" s="17" t="s">
        <v>78</v>
      </c>
      <c r="DP27" s="52" t="s">
        <v>78</v>
      </c>
    </row>
    <row r="28" spans="2:122" ht="16.5" x14ac:dyDescent="0.35">
      <c r="B28" s="30"/>
      <c r="C28" s="29"/>
      <c r="D28" s="31"/>
      <c r="E28" s="186" t="s">
        <v>322</v>
      </c>
      <c r="F28" s="189" t="s">
        <v>402</v>
      </c>
      <c r="G28" s="314" t="s">
        <v>483</v>
      </c>
      <c r="H28" s="17" t="s">
        <v>78</v>
      </c>
      <c r="I28" s="203" t="s">
        <v>78</v>
      </c>
      <c r="J28" s="237" t="s">
        <v>78</v>
      </c>
      <c r="K28" s="238" t="s">
        <v>78</v>
      </c>
      <c r="L28" s="237" t="s">
        <v>78</v>
      </c>
      <c r="M28" s="183" t="s">
        <v>78</v>
      </c>
      <c r="N28" s="238" t="s">
        <v>78</v>
      </c>
      <c r="O28" s="238" t="s">
        <v>78</v>
      </c>
      <c r="P28" s="237" t="s">
        <v>78</v>
      </c>
      <c r="Q28" s="439" t="s">
        <v>78</v>
      </c>
      <c r="R28" s="238" t="s">
        <v>78</v>
      </c>
      <c r="S28" s="238" t="s">
        <v>78</v>
      </c>
      <c r="T28" s="238" t="s">
        <v>78</v>
      </c>
      <c r="U28" s="238" t="s">
        <v>78</v>
      </c>
      <c r="V28" s="115" t="s">
        <v>78</v>
      </c>
      <c r="W28" s="238" t="s">
        <v>78</v>
      </c>
      <c r="X28" s="237" t="s">
        <v>78</v>
      </c>
      <c r="Y28" s="238" t="s">
        <v>78</v>
      </c>
      <c r="Z28" s="183" t="s">
        <v>78</v>
      </c>
      <c r="AA28" s="183" t="s">
        <v>78</v>
      </c>
      <c r="AB28" s="183" t="s">
        <v>78</v>
      </c>
      <c r="AC28" s="239" t="s">
        <v>78</v>
      </c>
      <c r="AD28" s="236">
        <f>0.26/100*(0.00141/0.0172)</f>
        <v>2.1313953488372094E-4</v>
      </c>
      <c r="AE28" s="237">
        <f>0.028/100*(0.00141/0.0172)</f>
        <v>2.2953488372093026E-5</v>
      </c>
      <c r="AF28" s="60" t="s">
        <v>78</v>
      </c>
      <c r="AG28" s="135" t="s">
        <v>78</v>
      </c>
      <c r="AH28" s="238" t="s">
        <v>78</v>
      </c>
      <c r="AI28" s="95" t="s">
        <v>78</v>
      </c>
      <c r="AJ28" s="95" t="s">
        <v>78</v>
      </c>
      <c r="AK28" s="237">
        <f>0.07/100*(0.00141/0.0172)</f>
        <v>5.7383720930232568E-5</v>
      </c>
      <c r="AL28" s="238">
        <f>0.019/100*(0.00141/0.0172)</f>
        <v>1.5575581395348835E-5</v>
      </c>
      <c r="AM28" s="23">
        <f>0.052/100</f>
        <v>5.1999999999999995E-4</v>
      </c>
      <c r="AN28" s="238">
        <f>0.0023/100*(0.00141/0.0172)</f>
        <v>1.8854651162790699E-6</v>
      </c>
      <c r="AO28" s="238">
        <f>0.0076/100*(0.00141/0.0172)</f>
        <v>6.2302325581395358E-6</v>
      </c>
      <c r="AP28" s="237">
        <f>0.0078/100*(0.00141/0.0172)</f>
        <v>6.3941860465116283E-6</v>
      </c>
      <c r="AQ28" s="237">
        <f>0.0019/100*(0.00141/0.0172)</f>
        <v>1.5575581395348839E-6</v>
      </c>
      <c r="AR28" s="238">
        <f>0.0022/100*(0.00141/0.0172)</f>
        <v>1.8034883720930236E-6</v>
      </c>
      <c r="AS28" s="95" t="s">
        <v>78</v>
      </c>
      <c r="AT28" s="23">
        <f>0.013/100</f>
        <v>1.2999999999999999E-4</v>
      </c>
      <c r="AU28" s="95" t="s">
        <v>78</v>
      </c>
      <c r="AV28" s="60" t="s">
        <v>78</v>
      </c>
      <c r="AW28" s="17" t="s">
        <v>78</v>
      </c>
      <c r="AX28" s="17" t="s">
        <v>78</v>
      </c>
      <c r="AY28" s="95">
        <f>0.103/100*(0.00141/0.0172)</f>
        <v>8.4436046511627899E-5</v>
      </c>
      <c r="AZ28" s="69">
        <f>0.11/100</f>
        <v>1.1000000000000001E-3</v>
      </c>
      <c r="BA28" s="95">
        <f>0.00037/100*(0.00141/0.0172)</f>
        <v>3.0331395348837212E-7</v>
      </c>
      <c r="BB28" s="17" t="s">
        <v>78</v>
      </c>
      <c r="BC28" s="69" t="s">
        <v>78</v>
      </c>
      <c r="BD28" s="69" t="s">
        <v>78</v>
      </c>
      <c r="BE28" s="17" t="s">
        <v>78</v>
      </c>
      <c r="BF28" s="17" t="s">
        <v>78</v>
      </c>
      <c r="BG28" s="17">
        <f>0.28/100</f>
        <v>2.8000000000000004E-3</v>
      </c>
      <c r="BH28" s="238">
        <f>0.00021/100</f>
        <v>2.1000000000000002E-6</v>
      </c>
      <c r="BI28" s="17" t="s">
        <v>78</v>
      </c>
      <c r="BJ28" s="17" t="s">
        <v>78</v>
      </c>
      <c r="BK28" s="237">
        <f>0.05/100*(0.00141/0.0172)</f>
        <v>4.0988372093023258E-5</v>
      </c>
      <c r="BL28" s="237">
        <f>0.77/100*(0.00141/0.0172)</f>
        <v>6.3122093023255824E-4</v>
      </c>
      <c r="BM28" s="17">
        <f>0.088/100</f>
        <v>8.7999999999999992E-4</v>
      </c>
      <c r="BN28" s="17" t="s">
        <v>78</v>
      </c>
      <c r="BO28" s="17" t="s">
        <v>78</v>
      </c>
      <c r="BP28" s="17" t="s">
        <v>78</v>
      </c>
      <c r="BQ28" s="17" t="s">
        <v>78</v>
      </c>
      <c r="BR28" s="17" t="s">
        <v>78</v>
      </c>
      <c r="BS28" s="17" t="s">
        <v>78</v>
      </c>
      <c r="BT28" s="17" t="s">
        <v>78</v>
      </c>
      <c r="BU28" s="17" t="s">
        <v>78</v>
      </c>
      <c r="BV28" s="17" t="s">
        <v>78</v>
      </c>
      <c r="BW28" s="17" t="s">
        <v>78</v>
      </c>
      <c r="BX28" s="17">
        <f>0.15/100</f>
        <v>1.5E-3</v>
      </c>
      <c r="BY28" s="17" t="s">
        <v>78</v>
      </c>
      <c r="BZ28" s="17" t="s">
        <v>78</v>
      </c>
      <c r="CA28" s="17" t="s">
        <v>78</v>
      </c>
      <c r="CB28" s="238">
        <f>0.00047/100*(0.00141/0.0172)</f>
        <v>3.8529069767441861E-7</v>
      </c>
      <c r="CC28" s="17" t="s">
        <v>78</v>
      </c>
      <c r="CD28" s="238">
        <f>0.0096/100</f>
        <v>9.5999999999999989E-5</v>
      </c>
      <c r="CE28" s="111">
        <f>0.015/100</f>
        <v>1.4999999999999999E-4</v>
      </c>
      <c r="CF28" s="17" t="s">
        <v>78</v>
      </c>
      <c r="CG28" s="23">
        <f>0.049/100</f>
        <v>4.8999999999999998E-4</v>
      </c>
      <c r="CH28" s="17" t="s">
        <v>78</v>
      </c>
      <c r="CI28" s="17" t="s">
        <v>78</v>
      </c>
      <c r="CJ28" s="237">
        <f>2.38/100*(0.00141/0.0172)</f>
        <v>1.9510465116279068E-3</v>
      </c>
      <c r="CK28" s="238">
        <f>1.25/100*(0.00141/0.0172)</f>
        <v>1.0247093023255814E-3</v>
      </c>
      <c r="CL28" s="17" t="s">
        <v>78</v>
      </c>
      <c r="CM28" s="17" t="s">
        <v>78</v>
      </c>
      <c r="CN28" s="17" t="s">
        <v>78</v>
      </c>
      <c r="CO28" s="17" t="s">
        <v>78</v>
      </c>
      <c r="CP28" s="17" t="s">
        <v>78</v>
      </c>
      <c r="CQ28" s="17" t="s">
        <v>78</v>
      </c>
      <c r="CR28" s="238">
        <f>0.0077/100</f>
        <v>7.7000000000000001E-5</v>
      </c>
      <c r="CS28" s="69">
        <f>0.022/100*(0.00141/0.0172)</f>
        <v>1.8034883720930232E-5</v>
      </c>
      <c r="CT28" s="237">
        <f>0.81/100*(0.00141/0.0172)</f>
        <v>6.640116279069769E-4</v>
      </c>
      <c r="CU28" s="238">
        <f>1.18/100*(0.00141/0.0172)</f>
        <v>9.6732558139534886E-4</v>
      </c>
      <c r="CV28" s="69" t="s">
        <v>78</v>
      </c>
      <c r="CW28" s="17" t="s">
        <v>78</v>
      </c>
      <c r="CX28" s="17" t="s">
        <v>78</v>
      </c>
      <c r="CY28" s="237">
        <f>0.15/100*(0.00141/0.0172)</f>
        <v>1.2296511627906979E-4</v>
      </c>
      <c r="CZ28" s="69" t="s">
        <v>78</v>
      </c>
      <c r="DA28" s="17">
        <f>0.0073/100</f>
        <v>7.2999999999999999E-5</v>
      </c>
      <c r="DB28" s="17" t="s">
        <v>78</v>
      </c>
      <c r="DC28" s="17" t="s">
        <v>78</v>
      </c>
      <c r="DD28" s="17" t="s">
        <v>78</v>
      </c>
      <c r="DE28" s="17">
        <f>0.21/100</f>
        <v>2.0999999999999999E-3</v>
      </c>
      <c r="DF28" s="17" t="s">
        <v>78</v>
      </c>
      <c r="DG28" s="17" t="s">
        <v>78</v>
      </c>
      <c r="DH28" s="69" t="s">
        <v>78</v>
      </c>
      <c r="DI28" s="237">
        <f>0.0018/100</f>
        <v>1.8E-5</v>
      </c>
      <c r="DJ28" s="238" t="s">
        <v>78</v>
      </c>
      <c r="DK28" s="238" t="s">
        <v>78</v>
      </c>
      <c r="DL28" s="238" t="s">
        <v>78</v>
      </c>
      <c r="DM28" s="238" t="s">
        <v>78</v>
      </c>
      <c r="DN28" s="238" t="s">
        <v>78</v>
      </c>
      <c r="DO28" s="17">
        <f>0.41/100</f>
        <v>4.0999999999999995E-3</v>
      </c>
      <c r="DP28" s="52">
        <f>0.08/100</f>
        <v>8.0000000000000004E-4</v>
      </c>
    </row>
    <row r="29" spans="2:122" x14ac:dyDescent="0.35">
      <c r="B29" s="30"/>
      <c r="C29" s="415"/>
      <c r="D29" s="311"/>
      <c r="E29" s="186" t="s">
        <v>323</v>
      </c>
      <c r="F29" s="189" t="s">
        <v>403</v>
      </c>
      <c r="G29" s="314" t="s">
        <v>183</v>
      </c>
      <c r="H29" s="17" t="s">
        <v>78</v>
      </c>
      <c r="I29" s="203" t="s">
        <v>78</v>
      </c>
      <c r="J29" s="237" t="s">
        <v>78</v>
      </c>
      <c r="K29" s="238" t="s">
        <v>78</v>
      </c>
      <c r="L29" s="237" t="s">
        <v>78</v>
      </c>
      <c r="M29" s="183" t="s">
        <v>78</v>
      </c>
      <c r="N29" s="238" t="s">
        <v>78</v>
      </c>
      <c r="O29" s="238" t="s">
        <v>78</v>
      </c>
      <c r="P29" s="237" t="s">
        <v>78</v>
      </c>
      <c r="Q29" s="439" t="s">
        <v>78</v>
      </c>
      <c r="R29" s="238" t="s">
        <v>78</v>
      </c>
      <c r="S29" s="238" t="s">
        <v>78</v>
      </c>
      <c r="T29" s="238" t="s">
        <v>78</v>
      </c>
      <c r="U29" s="238" t="s">
        <v>78</v>
      </c>
      <c r="V29" s="115" t="s">
        <v>78</v>
      </c>
      <c r="W29" s="238" t="s">
        <v>78</v>
      </c>
      <c r="X29" s="237" t="s">
        <v>78</v>
      </c>
      <c r="Y29" s="238" t="s">
        <v>78</v>
      </c>
      <c r="Z29" s="183" t="s">
        <v>78</v>
      </c>
      <c r="AA29" s="183" t="s">
        <v>78</v>
      </c>
      <c r="AB29" s="183" t="s">
        <v>78</v>
      </c>
      <c r="AC29" s="239" t="s">
        <v>78</v>
      </c>
      <c r="AD29" s="155" t="s">
        <v>78</v>
      </c>
      <c r="AE29" s="135" t="s">
        <v>78</v>
      </c>
      <c r="AF29" s="60" t="s">
        <v>78</v>
      </c>
      <c r="AG29" s="135" t="s">
        <v>78</v>
      </c>
      <c r="AH29" s="238" t="s">
        <v>78</v>
      </c>
      <c r="AI29" s="95" t="s">
        <v>78</v>
      </c>
      <c r="AJ29" s="95" t="s">
        <v>78</v>
      </c>
      <c r="AK29" s="135" t="s">
        <v>78</v>
      </c>
      <c r="AL29" s="238" t="s">
        <v>78</v>
      </c>
      <c r="AM29" s="23">
        <f>0.052/100</f>
        <v>5.1999999999999995E-4</v>
      </c>
      <c r="AN29" s="238" t="s">
        <v>78</v>
      </c>
      <c r="AO29" s="238" t="s">
        <v>78</v>
      </c>
      <c r="AP29" s="135" t="s">
        <v>78</v>
      </c>
      <c r="AQ29" s="237" t="s">
        <v>78</v>
      </c>
      <c r="AR29" s="238" t="s">
        <v>78</v>
      </c>
      <c r="AS29" s="95" t="s">
        <v>78</v>
      </c>
      <c r="AT29" s="23">
        <f>0.013/100</f>
        <v>1.2999999999999999E-4</v>
      </c>
      <c r="AU29" s="95" t="s">
        <v>78</v>
      </c>
      <c r="AV29" s="60" t="s">
        <v>78</v>
      </c>
      <c r="AW29" s="17" t="s">
        <v>78</v>
      </c>
      <c r="AX29" s="17" t="s">
        <v>78</v>
      </c>
      <c r="AY29" s="60" t="s">
        <v>78</v>
      </c>
      <c r="AZ29" s="69">
        <f>0.11/100</f>
        <v>1.1000000000000001E-3</v>
      </c>
      <c r="BA29" s="17" t="s">
        <v>78</v>
      </c>
      <c r="BB29" s="17" t="s">
        <v>78</v>
      </c>
      <c r="BC29" s="69" t="s">
        <v>78</v>
      </c>
      <c r="BD29" s="69" t="s">
        <v>78</v>
      </c>
      <c r="BE29" s="17" t="s">
        <v>78</v>
      </c>
      <c r="BF29" s="17" t="s">
        <v>78</v>
      </c>
      <c r="BG29" s="17">
        <f>0.28/100</f>
        <v>2.8000000000000004E-3</v>
      </c>
      <c r="BH29" s="238">
        <f>0.00021/100</f>
        <v>2.1000000000000002E-6</v>
      </c>
      <c r="BI29" s="17" t="s">
        <v>78</v>
      </c>
      <c r="BJ29" s="17" t="s">
        <v>78</v>
      </c>
      <c r="BK29" s="237" t="s">
        <v>78</v>
      </c>
      <c r="BL29" s="237" t="s">
        <v>78</v>
      </c>
      <c r="BM29" s="17">
        <f>0.088/100</f>
        <v>8.7999999999999992E-4</v>
      </c>
      <c r="BN29" s="17" t="s">
        <v>78</v>
      </c>
      <c r="BO29" s="17" t="s">
        <v>78</v>
      </c>
      <c r="BP29" s="17" t="s">
        <v>78</v>
      </c>
      <c r="BQ29" s="17" t="s">
        <v>78</v>
      </c>
      <c r="BR29" s="17" t="s">
        <v>78</v>
      </c>
      <c r="BS29" s="17" t="s">
        <v>78</v>
      </c>
      <c r="BT29" s="17" t="s">
        <v>78</v>
      </c>
      <c r="BU29" s="17" t="s">
        <v>78</v>
      </c>
      <c r="BV29" s="17" t="s">
        <v>78</v>
      </c>
      <c r="BW29" s="17" t="s">
        <v>78</v>
      </c>
      <c r="BX29" s="17">
        <f>0.15/100</f>
        <v>1.5E-3</v>
      </c>
      <c r="BY29" s="17" t="s">
        <v>78</v>
      </c>
      <c r="BZ29" s="17" t="s">
        <v>78</v>
      </c>
      <c r="CA29" s="17" t="s">
        <v>78</v>
      </c>
      <c r="CB29" s="17" t="s">
        <v>78</v>
      </c>
      <c r="CC29" s="17" t="s">
        <v>78</v>
      </c>
      <c r="CD29" s="238">
        <f>0.0096/100</f>
        <v>9.5999999999999989E-5</v>
      </c>
      <c r="CE29" s="111">
        <f>0.015/100</f>
        <v>1.4999999999999999E-4</v>
      </c>
      <c r="CF29" s="17" t="s">
        <v>78</v>
      </c>
      <c r="CG29" s="23">
        <f>0.049/100</f>
        <v>4.8999999999999998E-4</v>
      </c>
      <c r="CH29" s="17" t="s">
        <v>78</v>
      </c>
      <c r="CI29" s="17" t="s">
        <v>78</v>
      </c>
      <c r="CJ29" s="69" t="s">
        <v>78</v>
      </c>
      <c r="CK29" s="17" t="s">
        <v>78</v>
      </c>
      <c r="CL29" s="17" t="s">
        <v>78</v>
      </c>
      <c r="CM29" s="17" t="s">
        <v>78</v>
      </c>
      <c r="CN29" s="17" t="s">
        <v>78</v>
      </c>
      <c r="CO29" s="17" t="s">
        <v>78</v>
      </c>
      <c r="CP29" s="17" t="s">
        <v>78</v>
      </c>
      <c r="CQ29" s="17" t="s">
        <v>78</v>
      </c>
      <c r="CR29" s="238">
        <f>0.0077/100</f>
        <v>7.7000000000000001E-5</v>
      </c>
      <c r="CS29" s="69" t="s">
        <v>78</v>
      </c>
      <c r="CT29" s="237" t="s">
        <v>78</v>
      </c>
      <c r="CU29" s="17" t="s">
        <v>78</v>
      </c>
      <c r="CV29" s="69" t="s">
        <v>78</v>
      </c>
      <c r="CW29" s="17" t="s">
        <v>78</v>
      </c>
      <c r="CX29" s="17" t="s">
        <v>78</v>
      </c>
      <c r="CY29" s="69" t="s">
        <v>78</v>
      </c>
      <c r="CZ29" s="69" t="s">
        <v>78</v>
      </c>
      <c r="DA29" s="17">
        <f>0.0073/100</f>
        <v>7.2999999999999999E-5</v>
      </c>
      <c r="DB29" s="17" t="s">
        <v>78</v>
      </c>
      <c r="DC29" s="17" t="s">
        <v>78</v>
      </c>
      <c r="DD29" s="17" t="s">
        <v>78</v>
      </c>
      <c r="DE29" s="17">
        <f>0.21/100</f>
        <v>2.0999999999999999E-3</v>
      </c>
      <c r="DF29" s="17" t="s">
        <v>78</v>
      </c>
      <c r="DG29" s="17" t="s">
        <v>78</v>
      </c>
      <c r="DH29" s="69" t="s">
        <v>78</v>
      </c>
      <c r="DI29" s="237">
        <f>0.0018/100</f>
        <v>1.8E-5</v>
      </c>
      <c r="DJ29" s="238" t="s">
        <v>78</v>
      </c>
      <c r="DK29" s="238" t="s">
        <v>78</v>
      </c>
      <c r="DL29" s="238" t="s">
        <v>78</v>
      </c>
      <c r="DM29" s="238" t="s">
        <v>78</v>
      </c>
      <c r="DN29" s="238" t="s">
        <v>78</v>
      </c>
      <c r="DO29" s="17">
        <f>0.41/100</f>
        <v>4.0999999999999995E-3</v>
      </c>
      <c r="DP29" s="52">
        <f>0.08/100</f>
        <v>8.0000000000000004E-4</v>
      </c>
    </row>
    <row r="30" spans="2:122" ht="16.5" x14ac:dyDescent="0.35">
      <c r="B30" s="30"/>
      <c r="C30" s="29"/>
      <c r="D30" s="31"/>
      <c r="E30" s="186" t="s">
        <v>325</v>
      </c>
      <c r="F30" s="189" t="s">
        <v>402</v>
      </c>
      <c r="G30" s="314" t="s">
        <v>483</v>
      </c>
      <c r="H30" s="17" t="s">
        <v>78</v>
      </c>
      <c r="I30" s="203" t="s">
        <v>78</v>
      </c>
      <c r="J30" s="237" t="s">
        <v>78</v>
      </c>
      <c r="K30" s="238" t="s">
        <v>78</v>
      </c>
      <c r="L30" s="237" t="s">
        <v>78</v>
      </c>
      <c r="M30" s="183" t="s">
        <v>78</v>
      </c>
      <c r="N30" s="238" t="s">
        <v>78</v>
      </c>
      <c r="O30" s="238" t="s">
        <v>78</v>
      </c>
      <c r="P30" s="237" t="s">
        <v>78</v>
      </c>
      <c r="Q30" s="439" t="s">
        <v>78</v>
      </c>
      <c r="R30" s="238" t="s">
        <v>78</v>
      </c>
      <c r="S30" s="238" t="s">
        <v>78</v>
      </c>
      <c r="T30" s="238" t="s">
        <v>78</v>
      </c>
      <c r="U30" s="238" t="s">
        <v>78</v>
      </c>
      <c r="V30" s="115" t="s">
        <v>78</v>
      </c>
      <c r="W30" s="238" t="s">
        <v>78</v>
      </c>
      <c r="X30" s="237" t="s">
        <v>78</v>
      </c>
      <c r="Y30" s="238" t="s">
        <v>78</v>
      </c>
      <c r="Z30" s="183" t="s">
        <v>78</v>
      </c>
      <c r="AA30" s="183" t="s">
        <v>78</v>
      </c>
      <c r="AB30" s="183" t="s">
        <v>78</v>
      </c>
      <c r="AC30" s="239" t="s">
        <v>78</v>
      </c>
      <c r="AD30" s="236">
        <f>0.47/100*(0.00105/0.0504)</f>
        <v>9.7916666666666643E-5</v>
      </c>
      <c r="AE30" s="237">
        <f>0.014/100*(0.00105/0.0504)</f>
        <v>2.916666666666667E-6</v>
      </c>
      <c r="AF30" s="60" t="s">
        <v>78</v>
      </c>
      <c r="AG30" s="135" t="s">
        <v>78</v>
      </c>
      <c r="AH30" s="238" t="s">
        <v>78</v>
      </c>
      <c r="AI30" s="95" t="s">
        <v>78</v>
      </c>
      <c r="AJ30" s="95" t="s">
        <v>78</v>
      </c>
      <c r="AK30" s="237">
        <f>0.13/100*(0.00105/0.0504)</f>
        <v>2.7083333333333332E-5</v>
      </c>
      <c r="AL30" s="238">
        <f>0.056/100*(0.00105/0.0504)</f>
        <v>1.1666666666666668E-5</v>
      </c>
      <c r="AM30" s="23">
        <f>0.032/100</f>
        <v>3.2000000000000003E-4</v>
      </c>
      <c r="AN30" s="238" t="s">
        <v>78</v>
      </c>
      <c r="AO30" s="238" t="s">
        <v>78</v>
      </c>
      <c r="AP30" s="237">
        <f>0.0095/100*(0.00105/0.0504)</f>
        <v>1.9791666666666662E-6</v>
      </c>
      <c r="AQ30" s="237" t="s">
        <v>78</v>
      </c>
      <c r="AR30" s="238" t="s">
        <v>78</v>
      </c>
      <c r="AS30" s="95" t="s">
        <v>78</v>
      </c>
      <c r="AT30" s="23">
        <f>0.016/100</f>
        <v>1.6000000000000001E-4</v>
      </c>
      <c r="AU30" s="95" t="s">
        <v>78</v>
      </c>
      <c r="AV30" s="60" t="s">
        <v>78</v>
      </c>
      <c r="AW30" s="17" t="s">
        <v>78</v>
      </c>
      <c r="AX30" s="17" t="s">
        <v>78</v>
      </c>
      <c r="AY30" s="95">
        <f>0.21/100*(0.00105/0.0504)</f>
        <v>4.3749999999999993E-5</v>
      </c>
      <c r="AZ30" s="69" t="s">
        <v>78</v>
      </c>
      <c r="BA30" s="17" t="s">
        <v>78</v>
      </c>
      <c r="BB30" s="17" t="s">
        <v>78</v>
      </c>
      <c r="BC30" s="69" t="s">
        <v>78</v>
      </c>
      <c r="BD30" s="69" t="s">
        <v>78</v>
      </c>
      <c r="BE30" s="17" t="s">
        <v>78</v>
      </c>
      <c r="BF30" s="17" t="s">
        <v>78</v>
      </c>
      <c r="BG30" s="17">
        <f>0.038/100</f>
        <v>3.7999999999999997E-4</v>
      </c>
      <c r="BH30" s="238">
        <f>0.004/100</f>
        <v>4.0000000000000003E-5</v>
      </c>
      <c r="BI30" s="17" t="s">
        <v>78</v>
      </c>
      <c r="BJ30" s="17" t="s">
        <v>78</v>
      </c>
      <c r="BK30" s="237">
        <f>0.15/100*(0.00105/0.0504)</f>
        <v>3.1250000000000001E-5</v>
      </c>
      <c r="BL30" s="237">
        <f>1.01/100*(0.00105/0.0504)</f>
        <v>2.1041666666666664E-4</v>
      </c>
      <c r="BM30" s="17">
        <f>0.69/100</f>
        <v>6.8999999999999999E-3</v>
      </c>
      <c r="BN30" s="17" t="s">
        <v>78</v>
      </c>
      <c r="BO30" s="17" t="s">
        <v>78</v>
      </c>
      <c r="BP30" s="17" t="s">
        <v>78</v>
      </c>
      <c r="BQ30" s="17" t="s">
        <v>78</v>
      </c>
      <c r="BR30" s="17" t="s">
        <v>78</v>
      </c>
      <c r="BS30" s="17" t="s">
        <v>78</v>
      </c>
      <c r="BT30" s="17" t="s">
        <v>78</v>
      </c>
      <c r="BU30" s="17" t="s">
        <v>78</v>
      </c>
      <c r="BV30" s="17" t="s">
        <v>78</v>
      </c>
      <c r="BW30" s="17" t="s">
        <v>78</v>
      </c>
      <c r="BX30" s="60">
        <f>0.1/100</f>
        <v>1E-3</v>
      </c>
      <c r="BY30" s="17" t="s">
        <v>78</v>
      </c>
      <c r="BZ30" s="17" t="s">
        <v>78</v>
      </c>
      <c r="CA30" s="17" t="s">
        <v>78</v>
      </c>
      <c r="CB30" s="17" t="s">
        <v>78</v>
      </c>
      <c r="CC30" s="17" t="s">
        <v>78</v>
      </c>
      <c r="CD30" s="238">
        <f>0.0049/100</f>
        <v>4.8999999999999998E-5</v>
      </c>
      <c r="CE30" s="111">
        <f>0.023/100</f>
        <v>2.3000000000000001E-4</v>
      </c>
      <c r="CF30" s="17" t="s">
        <v>78</v>
      </c>
      <c r="CG30" s="23">
        <f>0.039/100</f>
        <v>3.8999999999999999E-4</v>
      </c>
      <c r="CH30" s="17" t="s">
        <v>78</v>
      </c>
      <c r="CI30" s="238">
        <f>0.00027/100</f>
        <v>2.7E-6</v>
      </c>
      <c r="CJ30" s="237">
        <f>5.27/100*(0.00105/0.0504)</f>
        <v>1.0979166666666665E-3</v>
      </c>
      <c r="CK30" s="238">
        <f>1.82/100*(0.00105/0.0504)</f>
        <v>3.7916666666666665E-4</v>
      </c>
      <c r="CL30" s="17" t="s">
        <v>78</v>
      </c>
      <c r="CM30" s="17" t="s">
        <v>78</v>
      </c>
      <c r="CN30" s="17" t="s">
        <v>78</v>
      </c>
      <c r="CO30" s="17" t="s">
        <v>78</v>
      </c>
      <c r="CP30" s="17" t="s">
        <v>78</v>
      </c>
      <c r="CQ30" s="17" t="s">
        <v>78</v>
      </c>
      <c r="CR30" s="17" t="s">
        <v>78</v>
      </c>
      <c r="CS30" s="69">
        <f>0.03/100*(0.00105/0.0504)</f>
        <v>6.2499999999999995E-6</v>
      </c>
      <c r="CT30" s="237">
        <f>1.8/100*(0.00105/0.0504)</f>
        <v>3.7500000000000001E-4</v>
      </c>
      <c r="CU30" s="17" t="s">
        <v>78</v>
      </c>
      <c r="CV30" s="69" t="s">
        <v>78</v>
      </c>
      <c r="CW30" s="17" t="s">
        <v>78</v>
      </c>
      <c r="CX30" s="17" t="s">
        <v>78</v>
      </c>
      <c r="CY30" s="237">
        <f>0.44/100*(0.00105/0.0504)</f>
        <v>9.1666666666666668E-5</v>
      </c>
      <c r="CZ30" s="69" t="s">
        <v>78</v>
      </c>
      <c r="DA30" s="17">
        <f>0.0054/100</f>
        <v>5.4000000000000005E-5</v>
      </c>
      <c r="DB30" s="17" t="s">
        <v>78</v>
      </c>
      <c r="DC30" s="17" t="s">
        <v>78</v>
      </c>
      <c r="DD30" s="17" t="s">
        <v>78</v>
      </c>
      <c r="DE30" s="17">
        <f>0.062/100</f>
        <v>6.2E-4</v>
      </c>
      <c r="DF30" s="17" t="s">
        <v>78</v>
      </c>
      <c r="DG30" s="17" t="s">
        <v>78</v>
      </c>
      <c r="DH30" s="69" t="s">
        <v>78</v>
      </c>
      <c r="DI30" s="237">
        <f>0.00031/100</f>
        <v>3.1E-6</v>
      </c>
      <c r="DJ30" s="238" t="s">
        <v>78</v>
      </c>
      <c r="DK30" s="238" t="s">
        <v>78</v>
      </c>
      <c r="DL30" s="238" t="s">
        <v>78</v>
      </c>
      <c r="DM30" s="238" t="s">
        <v>78</v>
      </c>
      <c r="DN30" s="238" t="s">
        <v>78</v>
      </c>
      <c r="DO30" s="17">
        <f>0.2/100</f>
        <v>2E-3</v>
      </c>
      <c r="DP30" s="52">
        <f>0.057/100</f>
        <v>5.6999999999999998E-4</v>
      </c>
    </row>
    <row r="31" spans="2:122" x14ac:dyDescent="0.35">
      <c r="B31" s="30"/>
      <c r="C31" s="29"/>
      <c r="D31" s="31"/>
      <c r="E31" s="186" t="s">
        <v>324</v>
      </c>
      <c r="F31" s="189" t="s">
        <v>403</v>
      </c>
      <c r="G31" s="314" t="s">
        <v>183</v>
      </c>
      <c r="H31" s="17" t="s">
        <v>78</v>
      </c>
      <c r="I31" s="203" t="s">
        <v>78</v>
      </c>
      <c r="J31" s="237" t="s">
        <v>78</v>
      </c>
      <c r="K31" s="238" t="s">
        <v>78</v>
      </c>
      <c r="L31" s="237" t="s">
        <v>78</v>
      </c>
      <c r="M31" s="183" t="s">
        <v>78</v>
      </c>
      <c r="N31" s="238" t="s">
        <v>78</v>
      </c>
      <c r="O31" s="238" t="s">
        <v>78</v>
      </c>
      <c r="P31" s="237" t="s">
        <v>78</v>
      </c>
      <c r="Q31" s="439" t="s">
        <v>78</v>
      </c>
      <c r="R31" s="238" t="s">
        <v>78</v>
      </c>
      <c r="S31" s="238" t="s">
        <v>78</v>
      </c>
      <c r="T31" s="238" t="s">
        <v>78</v>
      </c>
      <c r="U31" s="238" t="s">
        <v>78</v>
      </c>
      <c r="V31" s="115" t="s">
        <v>78</v>
      </c>
      <c r="W31" s="238" t="s">
        <v>78</v>
      </c>
      <c r="X31" s="237" t="s">
        <v>78</v>
      </c>
      <c r="Y31" s="238" t="s">
        <v>78</v>
      </c>
      <c r="Z31" s="183" t="s">
        <v>78</v>
      </c>
      <c r="AA31" s="183" t="s">
        <v>78</v>
      </c>
      <c r="AB31" s="183" t="s">
        <v>78</v>
      </c>
      <c r="AC31" s="239" t="s">
        <v>78</v>
      </c>
      <c r="AD31" s="155" t="s">
        <v>78</v>
      </c>
      <c r="AE31" s="135" t="s">
        <v>78</v>
      </c>
      <c r="AF31" s="60" t="s">
        <v>78</v>
      </c>
      <c r="AG31" s="135" t="s">
        <v>78</v>
      </c>
      <c r="AH31" s="238" t="s">
        <v>78</v>
      </c>
      <c r="AI31" s="95" t="s">
        <v>78</v>
      </c>
      <c r="AJ31" s="95" t="s">
        <v>78</v>
      </c>
      <c r="AK31" s="135" t="s">
        <v>78</v>
      </c>
      <c r="AL31" s="238" t="s">
        <v>78</v>
      </c>
      <c r="AM31" s="23">
        <f>0.032/100</f>
        <v>3.2000000000000003E-4</v>
      </c>
      <c r="AN31" s="238" t="s">
        <v>78</v>
      </c>
      <c r="AO31" s="238" t="s">
        <v>78</v>
      </c>
      <c r="AP31" s="135" t="s">
        <v>78</v>
      </c>
      <c r="AQ31" s="237" t="s">
        <v>78</v>
      </c>
      <c r="AR31" s="238" t="s">
        <v>78</v>
      </c>
      <c r="AS31" s="95" t="s">
        <v>78</v>
      </c>
      <c r="AT31" s="23">
        <f>0.016/100</f>
        <v>1.6000000000000001E-4</v>
      </c>
      <c r="AU31" s="95" t="s">
        <v>78</v>
      </c>
      <c r="AV31" s="60" t="s">
        <v>78</v>
      </c>
      <c r="AW31" s="17" t="s">
        <v>78</v>
      </c>
      <c r="AX31" s="17" t="s">
        <v>78</v>
      </c>
      <c r="AY31" s="60" t="s">
        <v>78</v>
      </c>
      <c r="AZ31" s="69" t="s">
        <v>78</v>
      </c>
      <c r="BA31" s="17" t="s">
        <v>78</v>
      </c>
      <c r="BB31" s="17" t="s">
        <v>78</v>
      </c>
      <c r="BC31" s="69" t="s">
        <v>78</v>
      </c>
      <c r="BD31" s="69" t="s">
        <v>78</v>
      </c>
      <c r="BE31" s="17" t="s">
        <v>78</v>
      </c>
      <c r="BF31" s="17" t="s">
        <v>78</v>
      </c>
      <c r="BG31" s="17">
        <f>0.038/100</f>
        <v>3.7999999999999997E-4</v>
      </c>
      <c r="BH31" s="238">
        <f>0.004/100</f>
        <v>4.0000000000000003E-5</v>
      </c>
      <c r="BI31" s="17" t="s">
        <v>78</v>
      </c>
      <c r="BJ31" s="17" t="s">
        <v>78</v>
      </c>
      <c r="BK31" s="237" t="s">
        <v>78</v>
      </c>
      <c r="BL31" s="237" t="s">
        <v>78</v>
      </c>
      <c r="BM31" s="17" t="s">
        <v>78</v>
      </c>
      <c r="BN31" s="17" t="s">
        <v>78</v>
      </c>
      <c r="BO31" s="17" t="s">
        <v>78</v>
      </c>
      <c r="BP31" s="17" t="s">
        <v>78</v>
      </c>
      <c r="BQ31" s="17" t="s">
        <v>78</v>
      </c>
      <c r="BR31" s="17" t="s">
        <v>78</v>
      </c>
      <c r="BS31" s="17" t="s">
        <v>78</v>
      </c>
      <c r="BT31" s="17" t="s">
        <v>78</v>
      </c>
      <c r="BU31" s="17" t="s">
        <v>78</v>
      </c>
      <c r="BV31" s="17" t="s">
        <v>78</v>
      </c>
      <c r="BW31" s="17" t="s">
        <v>78</v>
      </c>
      <c r="BX31" s="60">
        <f>0.1/100</f>
        <v>1E-3</v>
      </c>
      <c r="BY31" s="17" t="s">
        <v>78</v>
      </c>
      <c r="BZ31" s="17" t="s">
        <v>78</v>
      </c>
      <c r="CA31" s="17" t="s">
        <v>78</v>
      </c>
      <c r="CB31" s="17" t="s">
        <v>78</v>
      </c>
      <c r="CC31" s="17" t="s">
        <v>78</v>
      </c>
      <c r="CD31" s="238">
        <f>0.0049/100</f>
        <v>4.8999999999999998E-5</v>
      </c>
      <c r="CE31" s="111">
        <f>0.023/100</f>
        <v>2.3000000000000001E-4</v>
      </c>
      <c r="CF31" s="17" t="s">
        <v>78</v>
      </c>
      <c r="CG31" s="23">
        <f>0.039/100</f>
        <v>3.8999999999999999E-4</v>
      </c>
      <c r="CH31" s="17" t="s">
        <v>78</v>
      </c>
      <c r="CI31" s="238">
        <f>0.00027/100</f>
        <v>2.7E-6</v>
      </c>
      <c r="CJ31" s="69" t="s">
        <v>78</v>
      </c>
      <c r="CK31" s="17" t="s">
        <v>78</v>
      </c>
      <c r="CL31" s="17" t="s">
        <v>78</v>
      </c>
      <c r="CM31" s="17" t="s">
        <v>78</v>
      </c>
      <c r="CN31" s="17" t="s">
        <v>78</v>
      </c>
      <c r="CO31" s="17" t="s">
        <v>78</v>
      </c>
      <c r="CP31" s="17" t="s">
        <v>78</v>
      </c>
      <c r="CQ31" s="17" t="s">
        <v>78</v>
      </c>
      <c r="CR31" s="17" t="s">
        <v>78</v>
      </c>
      <c r="CS31" s="69" t="s">
        <v>78</v>
      </c>
      <c r="CT31" s="237" t="s">
        <v>78</v>
      </c>
      <c r="CU31" s="17" t="s">
        <v>78</v>
      </c>
      <c r="CV31" s="69" t="s">
        <v>78</v>
      </c>
      <c r="CW31" s="17" t="s">
        <v>78</v>
      </c>
      <c r="CX31" s="17" t="s">
        <v>78</v>
      </c>
      <c r="CY31" s="69" t="s">
        <v>78</v>
      </c>
      <c r="CZ31" s="69" t="s">
        <v>78</v>
      </c>
      <c r="DA31" s="17">
        <f>0.0054/100</f>
        <v>5.4000000000000005E-5</v>
      </c>
      <c r="DB31" s="17" t="s">
        <v>78</v>
      </c>
      <c r="DC31" s="17" t="s">
        <v>78</v>
      </c>
      <c r="DD31" s="17" t="s">
        <v>78</v>
      </c>
      <c r="DE31" s="17">
        <f>0.062/100</f>
        <v>6.2E-4</v>
      </c>
      <c r="DF31" s="17" t="s">
        <v>78</v>
      </c>
      <c r="DG31" s="17" t="s">
        <v>78</v>
      </c>
      <c r="DH31" s="69" t="s">
        <v>78</v>
      </c>
      <c r="DI31" s="237">
        <f>0.00031/100</f>
        <v>3.1E-6</v>
      </c>
      <c r="DJ31" s="238" t="s">
        <v>78</v>
      </c>
      <c r="DK31" s="238" t="s">
        <v>78</v>
      </c>
      <c r="DL31" s="238" t="s">
        <v>78</v>
      </c>
      <c r="DM31" s="238" t="s">
        <v>78</v>
      </c>
      <c r="DN31" s="238" t="s">
        <v>78</v>
      </c>
      <c r="DO31" s="17">
        <f>0.2/100</f>
        <v>2E-3</v>
      </c>
      <c r="DP31" s="52">
        <f>0.057/100</f>
        <v>5.6999999999999998E-4</v>
      </c>
    </row>
    <row r="32" spans="2:122" ht="16.5" x14ac:dyDescent="0.35">
      <c r="B32" s="30"/>
      <c r="C32" s="29"/>
      <c r="D32" s="31"/>
      <c r="E32" s="186" t="s">
        <v>307</v>
      </c>
      <c r="F32" s="189" t="s">
        <v>451</v>
      </c>
      <c r="G32" s="314" t="s">
        <v>194</v>
      </c>
      <c r="H32" s="17" t="s">
        <v>78</v>
      </c>
      <c r="I32" s="257">
        <f>15000/10^6</f>
        <v>1.4999999999999999E-2</v>
      </c>
      <c r="J32" s="237" t="s">
        <v>78</v>
      </c>
      <c r="K32" s="238">
        <f>22/10^6</f>
        <v>2.1999999999999999E-5</v>
      </c>
      <c r="L32" s="115">
        <f>225/10^6</f>
        <v>2.2499999999999999E-4</v>
      </c>
      <c r="M32" s="238">
        <f t="shared" ref="M32:N34" si="0">1/10^6</f>
        <v>9.9999999999999995E-7</v>
      </c>
      <c r="N32" s="238">
        <f t="shared" si="0"/>
        <v>9.9999999999999995E-7</v>
      </c>
      <c r="O32" s="238">
        <f>0.5%*P32</f>
        <v>1.4000000000000001E-7</v>
      </c>
      <c r="P32" s="237">
        <f>28/10^6</f>
        <v>2.8E-5</v>
      </c>
      <c r="Q32" s="439">
        <f>11/10^6</f>
        <v>1.1E-5</v>
      </c>
      <c r="R32" s="238">
        <f>37/10^6</f>
        <v>3.6999999999999998E-5</v>
      </c>
      <c r="S32" s="238">
        <f>50/10^6</f>
        <v>5.0000000000000002E-5</v>
      </c>
      <c r="T32" s="23">
        <f>530/10^6</f>
        <v>5.2999999999999998E-4</v>
      </c>
      <c r="U32" s="238" t="s">
        <v>78</v>
      </c>
      <c r="V32" s="237" t="s">
        <v>78</v>
      </c>
      <c r="W32" s="238">
        <f>28/10^6</f>
        <v>2.8E-5</v>
      </c>
      <c r="X32" s="237" t="s">
        <v>78</v>
      </c>
      <c r="Y32" s="238">
        <f>1/10^6</f>
        <v>9.9999999999999995E-7</v>
      </c>
      <c r="Z32" s="60">
        <f>6.25/100</f>
        <v>6.25E-2</v>
      </c>
      <c r="AA32" s="238" t="s">
        <v>78</v>
      </c>
      <c r="AB32" s="238" t="s">
        <v>78</v>
      </c>
      <c r="AC32" s="239">
        <f>99/10^6</f>
        <v>9.8999999999999994E-5</v>
      </c>
      <c r="AD32" s="236" t="s">
        <v>78</v>
      </c>
      <c r="AE32" s="237" t="s">
        <v>78</v>
      </c>
      <c r="AF32" s="60" t="s">
        <v>78</v>
      </c>
      <c r="AG32" s="135" t="s">
        <v>78</v>
      </c>
      <c r="AH32" s="238" t="s">
        <v>78</v>
      </c>
      <c r="AI32" s="95" t="s">
        <v>78</v>
      </c>
      <c r="AJ32" s="95" t="s">
        <v>78</v>
      </c>
      <c r="AK32" s="237" t="s">
        <v>78</v>
      </c>
      <c r="AL32" s="238" t="s">
        <v>78</v>
      </c>
      <c r="AM32" s="23" t="s">
        <v>78</v>
      </c>
      <c r="AN32" s="238" t="s">
        <v>78</v>
      </c>
      <c r="AO32" s="238" t="s">
        <v>78</v>
      </c>
      <c r="AP32" s="237" t="s">
        <v>78</v>
      </c>
      <c r="AQ32" s="237" t="s">
        <v>78</v>
      </c>
      <c r="AR32" s="238" t="s">
        <v>78</v>
      </c>
      <c r="AS32" s="95" t="s">
        <v>78</v>
      </c>
      <c r="AT32" s="95" t="s">
        <v>78</v>
      </c>
      <c r="AU32" s="95" t="s">
        <v>78</v>
      </c>
      <c r="AV32" s="60" t="s">
        <v>78</v>
      </c>
      <c r="AW32" s="17" t="s">
        <v>78</v>
      </c>
      <c r="AX32" s="17" t="s">
        <v>78</v>
      </c>
      <c r="AY32" s="17" t="s">
        <v>78</v>
      </c>
      <c r="AZ32" s="69" t="s">
        <v>78</v>
      </c>
      <c r="BA32" s="17" t="s">
        <v>78</v>
      </c>
      <c r="BB32" s="17" t="s">
        <v>78</v>
      </c>
      <c r="BC32" s="69" t="s">
        <v>78</v>
      </c>
      <c r="BD32" s="69" t="s">
        <v>78</v>
      </c>
      <c r="BE32" s="17" t="s">
        <v>78</v>
      </c>
      <c r="BF32" s="17" t="s">
        <v>78</v>
      </c>
      <c r="BG32" s="17" t="s">
        <v>78</v>
      </c>
      <c r="BH32" s="17" t="s">
        <v>78</v>
      </c>
      <c r="BI32" s="17" t="s">
        <v>78</v>
      </c>
      <c r="BJ32" s="17" t="s">
        <v>78</v>
      </c>
      <c r="BK32" s="237" t="s">
        <v>78</v>
      </c>
      <c r="BL32" s="237" t="s">
        <v>78</v>
      </c>
      <c r="BM32" s="17" t="s">
        <v>78</v>
      </c>
      <c r="BN32" s="17" t="s">
        <v>78</v>
      </c>
      <c r="BO32" s="17" t="s">
        <v>78</v>
      </c>
      <c r="BP32" s="17" t="s">
        <v>78</v>
      </c>
      <c r="BQ32" s="17" t="s">
        <v>78</v>
      </c>
      <c r="BR32" s="17" t="s">
        <v>78</v>
      </c>
      <c r="BS32" s="17" t="s">
        <v>78</v>
      </c>
      <c r="BT32" s="17" t="s">
        <v>78</v>
      </c>
      <c r="BU32" s="17" t="s">
        <v>78</v>
      </c>
      <c r="BV32" s="17" t="s">
        <v>78</v>
      </c>
      <c r="BW32" s="17" t="s">
        <v>78</v>
      </c>
      <c r="BX32" s="17" t="s">
        <v>78</v>
      </c>
      <c r="BY32" s="17" t="s">
        <v>78</v>
      </c>
      <c r="BZ32" s="17" t="s">
        <v>78</v>
      </c>
      <c r="CA32" s="17" t="s">
        <v>78</v>
      </c>
      <c r="CB32" s="238" t="s">
        <v>78</v>
      </c>
      <c r="CC32" s="17" t="s">
        <v>78</v>
      </c>
      <c r="CD32" s="17" t="s">
        <v>78</v>
      </c>
      <c r="CE32" s="69" t="s">
        <v>78</v>
      </c>
      <c r="CF32" s="238" t="s">
        <v>78</v>
      </c>
      <c r="CG32" s="238" t="s">
        <v>78</v>
      </c>
      <c r="CH32" s="17" t="s">
        <v>78</v>
      </c>
      <c r="CI32" s="17" t="s">
        <v>78</v>
      </c>
      <c r="CJ32" s="69" t="s">
        <v>78</v>
      </c>
      <c r="CK32" s="17" t="s">
        <v>78</v>
      </c>
      <c r="CL32" s="17" t="s">
        <v>78</v>
      </c>
      <c r="CM32" s="17" t="s">
        <v>78</v>
      </c>
      <c r="CN32" s="17" t="s">
        <v>78</v>
      </c>
      <c r="CO32" s="17" t="s">
        <v>78</v>
      </c>
      <c r="CP32" s="17" t="s">
        <v>78</v>
      </c>
      <c r="CQ32" s="17" t="s">
        <v>78</v>
      </c>
      <c r="CR32" s="17" t="s">
        <v>78</v>
      </c>
      <c r="CS32" s="69" t="s">
        <v>78</v>
      </c>
      <c r="CT32" s="237" t="s">
        <v>78</v>
      </c>
      <c r="CU32" s="17" t="s">
        <v>78</v>
      </c>
      <c r="CV32" s="69" t="s">
        <v>78</v>
      </c>
      <c r="CW32" s="17" t="s">
        <v>78</v>
      </c>
      <c r="CX32" s="17" t="s">
        <v>78</v>
      </c>
      <c r="CY32" s="237" t="s">
        <v>78</v>
      </c>
      <c r="CZ32" s="69" t="s">
        <v>78</v>
      </c>
      <c r="DA32" s="17" t="s">
        <v>78</v>
      </c>
      <c r="DB32" s="17" t="s">
        <v>78</v>
      </c>
      <c r="DC32" s="17" t="s">
        <v>78</v>
      </c>
      <c r="DD32" s="17" t="s">
        <v>78</v>
      </c>
      <c r="DE32" s="17" t="s">
        <v>78</v>
      </c>
      <c r="DF32" s="17" t="s">
        <v>78</v>
      </c>
      <c r="DG32" s="17" t="s">
        <v>78</v>
      </c>
      <c r="DH32" s="69" t="s">
        <v>78</v>
      </c>
      <c r="DI32" s="237" t="s">
        <v>78</v>
      </c>
      <c r="DJ32" s="17" t="s">
        <v>78</v>
      </c>
      <c r="DK32" s="17" t="s">
        <v>78</v>
      </c>
      <c r="DL32" s="17" t="s">
        <v>78</v>
      </c>
      <c r="DM32" s="17" t="s">
        <v>78</v>
      </c>
      <c r="DN32" s="60" t="s">
        <v>78</v>
      </c>
      <c r="DO32" s="17" t="s">
        <v>78</v>
      </c>
      <c r="DP32" s="52" t="s">
        <v>78</v>
      </c>
    </row>
    <row r="33" spans="2:120" ht="16.5" x14ac:dyDescent="0.35">
      <c r="B33" s="30"/>
      <c r="C33" s="29"/>
      <c r="D33" s="31"/>
      <c r="E33" s="186" t="s">
        <v>305</v>
      </c>
      <c r="F33" s="189" t="s">
        <v>452</v>
      </c>
      <c r="G33" s="314" t="s">
        <v>194</v>
      </c>
      <c r="H33" s="17" t="s">
        <v>78</v>
      </c>
      <c r="I33" s="257">
        <f>15000/10^6</f>
        <v>1.4999999999999999E-2</v>
      </c>
      <c r="J33" s="237" t="s">
        <v>78</v>
      </c>
      <c r="K33" s="238">
        <f>22/10^6</f>
        <v>2.1999999999999999E-5</v>
      </c>
      <c r="L33" s="115">
        <f>225/10^6</f>
        <v>2.2499999999999999E-4</v>
      </c>
      <c r="M33" s="238">
        <f t="shared" si="0"/>
        <v>9.9999999999999995E-7</v>
      </c>
      <c r="N33" s="238">
        <f t="shared" si="0"/>
        <v>9.9999999999999995E-7</v>
      </c>
      <c r="O33" s="238">
        <f t="shared" ref="O33:O35" si="1">0.5%*P33</f>
        <v>1.4000000000000001E-7</v>
      </c>
      <c r="P33" s="237">
        <f>28/10^6</f>
        <v>2.8E-5</v>
      </c>
      <c r="Q33" s="439">
        <f>11/10^6</f>
        <v>1.1E-5</v>
      </c>
      <c r="R33" s="238">
        <f>37/10^6</f>
        <v>3.6999999999999998E-5</v>
      </c>
      <c r="S33" s="238">
        <f>50/10^6</f>
        <v>5.0000000000000002E-5</v>
      </c>
      <c r="T33" s="23">
        <f>530/10^6</f>
        <v>5.2999999999999998E-4</v>
      </c>
      <c r="U33" s="238" t="s">
        <v>78</v>
      </c>
      <c r="V33" s="237" t="s">
        <v>78</v>
      </c>
      <c r="W33" s="238">
        <f>28/10^6</f>
        <v>2.8E-5</v>
      </c>
      <c r="X33" s="237" t="s">
        <v>78</v>
      </c>
      <c r="Y33" s="238">
        <f>1/10^6</f>
        <v>9.9999999999999995E-7</v>
      </c>
      <c r="Z33" s="60">
        <f>4.64/100</f>
        <v>4.6399999999999997E-2</v>
      </c>
      <c r="AA33" s="238" t="s">
        <v>78</v>
      </c>
      <c r="AB33" s="238" t="s">
        <v>78</v>
      </c>
      <c r="AC33" s="239">
        <f>99/10^6</f>
        <v>9.8999999999999994E-5</v>
      </c>
      <c r="AD33" s="236" t="s">
        <v>78</v>
      </c>
      <c r="AE33" s="237" t="s">
        <v>78</v>
      </c>
      <c r="AF33" s="60" t="s">
        <v>78</v>
      </c>
      <c r="AG33" s="135" t="s">
        <v>78</v>
      </c>
      <c r="AH33" s="238" t="s">
        <v>78</v>
      </c>
      <c r="AI33" s="95" t="s">
        <v>78</v>
      </c>
      <c r="AJ33" s="95" t="s">
        <v>78</v>
      </c>
      <c r="AK33" s="237" t="s">
        <v>78</v>
      </c>
      <c r="AL33" s="238" t="s">
        <v>78</v>
      </c>
      <c r="AM33" s="23" t="s">
        <v>78</v>
      </c>
      <c r="AN33" s="238" t="s">
        <v>78</v>
      </c>
      <c r="AO33" s="238" t="s">
        <v>78</v>
      </c>
      <c r="AP33" s="237" t="s">
        <v>78</v>
      </c>
      <c r="AQ33" s="237" t="s">
        <v>78</v>
      </c>
      <c r="AR33" s="238" t="s">
        <v>78</v>
      </c>
      <c r="AS33" s="95" t="s">
        <v>78</v>
      </c>
      <c r="AT33" s="95" t="s">
        <v>78</v>
      </c>
      <c r="AU33" s="95" t="s">
        <v>78</v>
      </c>
      <c r="AV33" s="60" t="s">
        <v>78</v>
      </c>
      <c r="AW33" s="17" t="s">
        <v>78</v>
      </c>
      <c r="AX33" s="17" t="s">
        <v>78</v>
      </c>
      <c r="AY33" s="17" t="s">
        <v>78</v>
      </c>
      <c r="AZ33" s="69" t="s">
        <v>78</v>
      </c>
      <c r="BA33" s="17" t="s">
        <v>78</v>
      </c>
      <c r="BB33" s="17" t="s">
        <v>78</v>
      </c>
      <c r="BC33" s="69" t="s">
        <v>78</v>
      </c>
      <c r="BD33" s="69" t="s">
        <v>78</v>
      </c>
      <c r="BE33" s="17" t="s">
        <v>78</v>
      </c>
      <c r="BF33" s="17" t="s">
        <v>78</v>
      </c>
      <c r="BG33" s="17" t="s">
        <v>78</v>
      </c>
      <c r="BH33" s="17" t="s">
        <v>78</v>
      </c>
      <c r="BI33" s="17" t="s">
        <v>78</v>
      </c>
      <c r="BJ33" s="17" t="s">
        <v>78</v>
      </c>
      <c r="BK33" s="237" t="s">
        <v>78</v>
      </c>
      <c r="BL33" s="237" t="s">
        <v>78</v>
      </c>
      <c r="BM33" s="17" t="s">
        <v>78</v>
      </c>
      <c r="BN33" s="17" t="s">
        <v>78</v>
      </c>
      <c r="BO33" s="17" t="s">
        <v>78</v>
      </c>
      <c r="BP33" s="17" t="s">
        <v>78</v>
      </c>
      <c r="BQ33" s="17" t="s">
        <v>78</v>
      </c>
      <c r="BR33" s="17" t="s">
        <v>78</v>
      </c>
      <c r="BS33" s="17" t="s">
        <v>78</v>
      </c>
      <c r="BT33" s="17" t="s">
        <v>78</v>
      </c>
      <c r="BU33" s="17" t="s">
        <v>78</v>
      </c>
      <c r="BV33" s="17" t="s">
        <v>78</v>
      </c>
      <c r="BW33" s="17" t="s">
        <v>78</v>
      </c>
      <c r="BX33" s="17" t="s">
        <v>78</v>
      </c>
      <c r="BY33" s="17" t="s">
        <v>78</v>
      </c>
      <c r="BZ33" s="17" t="s">
        <v>78</v>
      </c>
      <c r="CA33" s="17" t="s">
        <v>78</v>
      </c>
      <c r="CB33" s="238" t="s">
        <v>78</v>
      </c>
      <c r="CC33" s="17" t="s">
        <v>78</v>
      </c>
      <c r="CD33" s="17" t="s">
        <v>78</v>
      </c>
      <c r="CE33" s="69" t="s">
        <v>78</v>
      </c>
      <c r="CF33" s="238" t="s">
        <v>78</v>
      </c>
      <c r="CG33" s="238" t="s">
        <v>78</v>
      </c>
      <c r="CH33" s="17" t="s">
        <v>78</v>
      </c>
      <c r="CI33" s="17" t="s">
        <v>78</v>
      </c>
      <c r="CJ33" s="69" t="s">
        <v>78</v>
      </c>
      <c r="CK33" s="17" t="s">
        <v>78</v>
      </c>
      <c r="CL33" s="17" t="s">
        <v>78</v>
      </c>
      <c r="CM33" s="17" t="s">
        <v>78</v>
      </c>
      <c r="CN33" s="17" t="s">
        <v>78</v>
      </c>
      <c r="CO33" s="17" t="s">
        <v>78</v>
      </c>
      <c r="CP33" s="17" t="s">
        <v>78</v>
      </c>
      <c r="CQ33" s="17" t="s">
        <v>78</v>
      </c>
      <c r="CR33" s="17" t="s">
        <v>78</v>
      </c>
      <c r="CS33" s="69" t="s">
        <v>78</v>
      </c>
      <c r="CT33" s="237" t="s">
        <v>78</v>
      </c>
      <c r="CU33" s="17" t="s">
        <v>78</v>
      </c>
      <c r="CV33" s="69" t="s">
        <v>78</v>
      </c>
      <c r="CW33" s="17" t="s">
        <v>78</v>
      </c>
      <c r="CX33" s="17" t="s">
        <v>78</v>
      </c>
      <c r="CY33" s="237" t="s">
        <v>78</v>
      </c>
      <c r="CZ33" s="69" t="s">
        <v>78</v>
      </c>
      <c r="DA33" s="17" t="s">
        <v>78</v>
      </c>
      <c r="DB33" s="17" t="s">
        <v>78</v>
      </c>
      <c r="DC33" s="17" t="s">
        <v>78</v>
      </c>
      <c r="DD33" s="17" t="s">
        <v>78</v>
      </c>
      <c r="DE33" s="17" t="s">
        <v>78</v>
      </c>
      <c r="DF33" s="17" t="s">
        <v>78</v>
      </c>
      <c r="DG33" s="17" t="s">
        <v>78</v>
      </c>
      <c r="DH33" s="69" t="s">
        <v>78</v>
      </c>
      <c r="DI33" s="237" t="s">
        <v>78</v>
      </c>
      <c r="DJ33" s="17" t="s">
        <v>78</v>
      </c>
      <c r="DK33" s="17" t="s">
        <v>78</v>
      </c>
      <c r="DL33" s="17" t="s">
        <v>78</v>
      </c>
      <c r="DM33" s="17" t="s">
        <v>78</v>
      </c>
      <c r="DN33" s="60" t="s">
        <v>78</v>
      </c>
      <c r="DO33" s="17" t="s">
        <v>78</v>
      </c>
      <c r="DP33" s="52" t="s">
        <v>78</v>
      </c>
    </row>
    <row r="34" spans="2:120" ht="16.5" x14ac:dyDescent="0.35">
      <c r="B34" s="30"/>
      <c r="C34" s="29"/>
      <c r="D34" s="31"/>
      <c r="E34" s="186" t="s">
        <v>306</v>
      </c>
      <c r="F34" s="189" t="s">
        <v>451</v>
      </c>
      <c r="G34" s="314" t="s">
        <v>194</v>
      </c>
      <c r="H34" s="17" t="s">
        <v>78</v>
      </c>
      <c r="I34" s="257">
        <f>15000/10^6</f>
        <v>1.4999999999999999E-2</v>
      </c>
      <c r="J34" s="237" t="s">
        <v>78</v>
      </c>
      <c r="K34" s="238">
        <f>22/10^6</f>
        <v>2.1999999999999999E-5</v>
      </c>
      <c r="L34" s="115">
        <f>225/10^6</f>
        <v>2.2499999999999999E-4</v>
      </c>
      <c r="M34" s="238">
        <f t="shared" si="0"/>
        <v>9.9999999999999995E-7</v>
      </c>
      <c r="N34" s="238">
        <f t="shared" si="0"/>
        <v>9.9999999999999995E-7</v>
      </c>
      <c r="O34" s="238">
        <f t="shared" si="1"/>
        <v>1.4000000000000001E-7</v>
      </c>
      <c r="P34" s="237">
        <f>28/10^6</f>
        <v>2.8E-5</v>
      </c>
      <c r="Q34" s="439">
        <f>11/10^6</f>
        <v>1.1E-5</v>
      </c>
      <c r="R34" s="238">
        <f>37/10^6</f>
        <v>3.6999999999999998E-5</v>
      </c>
      <c r="S34" s="238">
        <f>50/10^6</f>
        <v>5.0000000000000002E-5</v>
      </c>
      <c r="T34" s="23">
        <f>530/10^6</f>
        <v>5.2999999999999998E-4</v>
      </c>
      <c r="U34" s="238" t="s">
        <v>78</v>
      </c>
      <c r="V34" s="237" t="s">
        <v>78</v>
      </c>
      <c r="W34" s="238">
        <f>28/10^6</f>
        <v>2.8E-5</v>
      </c>
      <c r="X34" s="237" t="s">
        <v>78</v>
      </c>
      <c r="Y34" s="238">
        <f>1/10^6</f>
        <v>9.9999999999999995E-7</v>
      </c>
      <c r="Z34" s="60">
        <f>6.25/100</f>
        <v>6.25E-2</v>
      </c>
      <c r="AA34" s="238" t="s">
        <v>78</v>
      </c>
      <c r="AB34" s="238" t="s">
        <v>78</v>
      </c>
      <c r="AC34" s="239">
        <f>99/10^6</f>
        <v>9.8999999999999994E-5</v>
      </c>
      <c r="AD34" s="236" t="s">
        <v>78</v>
      </c>
      <c r="AE34" s="237" t="s">
        <v>78</v>
      </c>
      <c r="AF34" s="60" t="s">
        <v>78</v>
      </c>
      <c r="AG34" s="135" t="s">
        <v>78</v>
      </c>
      <c r="AH34" s="238" t="s">
        <v>78</v>
      </c>
      <c r="AI34" s="95" t="s">
        <v>78</v>
      </c>
      <c r="AJ34" s="95" t="s">
        <v>78</v>
      </c>
      <c r="AK34" s="237" t="s">
        <v>78</v>
      </c>
      <c r="AL34" s="238" t="s">
        <v>78</v>
      </c>
      <c r="AM34" s="23" t="s">
        <v>78</v>
      </c>
      <c r="AN34" s="238" t="s">
        <v>78</v>
      </c>
      <c r="AO34" s="238" t="s">
        <v>78</v>
      </c>
      <c r="AP34" s="237" t="s">
        <v>78</v>
      </c>
      <c r="AQ34" s="237" t="s">
        <v>78</v>
      </c>
      <c r="AR34" s="238" t="s">
        <v>78</v>
      </c>
      <c r="AS34" s="95" t="s">
        <v>78</v>
      </c>
      <c r="AT34" s="95" t="s">
        <v>78</v>
      </c>
      <c r="AU34" s="95" t="s">
        <v>78</v>
      </c>
      <c r="AV34" s="60" t="s">
        <v>78</v>
      </c>
      <c r="AW34" s="17" t="s">
        <v>78</v>
      </c>
      <c r="AX34" s="17" t="s">
        <v>78</v>
      </c>
      <c r="AY34" s="17" t="s">
        <v>78</v>
      </c>
      <c r="AZ34" s="69" t="s">
        <v>78</v>
      </c>
      <c r="BA34" s="17" t="s">
        <v>78</v>
      </c>
      <c r="BB34" s="17" t="s">
        <v>78</v>
      </c>
      <c r="BC34" s="69" t="s">
        <v>78</v>
      </c>
      <c r="BD34" s="69" t="s">
        <v>78</v>
      </c>
      <c r="BE34" s="17" t="s">
        <v>78</v>
      </c>
      <c r="BF34" s="17" t="s">
        <v>78</v>
      </c>
      <c r="BG34" s="17" t="s">
        <v>78</v>
      </c>
      <c r="BH34" s="17" t="s">
        <v>78</v>
      </c>
      <c r="BI34" s="17" t="s">
        <v>78</v>
      </c>
      <c r="BJ34" s="17" t="s">
        <v>78</v>
      </c>
      <c r="BK34" s="237" t="s">
        <v>78</v>
      </c>
      <c r="BL34" s="237" t="s">
        <v>78</v>
      </c>
      <c r="BM34" s="17" t="s">
        <v>78</v>
      </c>
      <c r="BN34" s="17" t="s">
        <v>78</v>
      </c>
      <c r="BO34" s="17" t="s">
        <v>78</v>
      </c>
      <c r="BP34" s="17" t="s">
        <v>78</v>
      </c>
      <c r="BQ34" s="17" t="s">
        <v>78</v>
      </c>
      <c r="BR34" s="17" t="s">
        <v>78</v>
      </c>
      <c r="BS34" s="17" t="s">
        <v>78</v>
      </c>
      <c r="BT34" s="17" t="s">
        <v>78</v>
      </c>
      <c r="BU34" s="17" t="s">
        <v>78</v>
      </c>
      <c r="BV34" s="17" t="s">
        <v>78</v>
      </c>
      <c r="BW34" s="17" t="s">
        <v>78</v>
      </c>
      <c r="BX34" s="17" t="s">
        <v>78</v>
      </c>
      <c r="BY34" s="17" t="s">
        <v>78</v>
      </c>
      <c r="BZ34" s="17" t="s">
        <v>78</v>
      </c>
      <c r="CA34" s="17" t="s">
        <v>78</v>
      </c>
      <c r="CB34" s="238" t="s">
        <v>78</v>
      </c>
      <c r="CC34" s="17" t="s">
        <v>78</v>
      </c>
      <c r="CD34" s="17" t="s">
        <v>78</v>
      </c>
      <c r="CE34" s="69" t="s">
        <v>78</v>
      </c>
      <c r="CF34" s="238" t="s">
        <v>78</v>
      </c>
      <c r="CG34" s="238" t="s">
        <v>78</v>
      </c>
      <c r="CH34" s="17" t="s">
        <v>78</v>
      </c>
      <c r="CI34" s="17" t="s">
        <v>78</v>
      </c>
      <c r="CJ34" s="69" t="s">
        <v>78</v>
      </c>
      <c r="CK34" s="17" t="s">
        <v>78</v>
      </c>
      <c r="CL34" s="17" t="s">
        <v>78</v>
      </c>
      <c r="CM34" s="17" t="s">
        <v>78</v>
      </c>
      <c r="CN34" s="17" t="s">
        <v>78</v>
      </c>
      <c r="CO34" s="17" t="s">
        <v>78</v>
      </c>
      <c r="CP34" s="17" t="s">
        <v>78</v>
      </c>
      <c r="CQ34" s="17" t="s">
        <v>78</v>
      </c>
      <c r="CR34" s="17" t="s">
        <v>78</v>
      </c>
      <c r="CS34" s="69" t="s">
        <v>78</v>
      </c>
      <c r="CT34" s="237" t="s">
        <v>78</v>
      </c>
      <c r="CU34" s="17" t="s">
        <v>78</v>
      </c>
      <c r="CV34" s="69" t="s">
        <v>78</v>
      </c>
      <c r="CW34" s="17" t="s">
        <v>78</v>
      </c>
      <c r="CX34" s="17" t="s">
        <v>78</v>
      </c>
      <c r="CY34" s="237" t="s">
        <v>78</v>
      </c>
      <c r="CZ34" s="69" t="s">
        <v>78</v>
      </c>
      <c r="DA34" s="17" t="s">
        <v>78</v>
      </c>
      <c r="DB34" s="17" t="s">
        <v>78</v>
      </c>
      <c r="DC34" s="17" t="s">
        <v>78</v>
      </c>
      <c r="DD34" s="17" t="s">
        <v>78</v>
      </c>
      <c r="DE34" s="17" t="s">
        <v>78</v>
      </c>
      <c r="DF34" s="17" t="s">
        <v>78</v>
      </c>
      <c r="DG34" s="17" t="s">
        <v>78</v>
      </c>
      <c r="DH34" s="69" t="s">
        <v>78</v>
      </c>
      <c r="DI34" s="237" t="s">
        <v>78</v>
      </c>
      <c r="DJ34" s="17" t="s">
        <v>78</v>
      </c>
      <c r="DK34" s="17" t="s">
        <v>78</v>
      </c>
      <c r="DL34" s="17" t="s">
        <v>78</v>
      </c>
      <c r="DM34" s="17" t="s">
        <v>78</v>
      </c>
      <c r="DN34" s="60" t="s">
        <v>78</v>
      </c>
      <c r="DO34" s="17" t="s">
        <v>78</v>
      </c>
      <c r="DP34" s="52" t="s">
        <v>78</v>
      </c>
    </row>
    <row r="35" spans="2:120" ht="16.5" x14ac:dyDescent="0.35">
      <c r="B35" s="30"/>
      <c r="C35" s="29"/>
      <c r="D35" s="31"/>
      <c r="E35" s="186" t="s">
        <v>309</v>
      </c>
      <c r="F35" s="189" t="s">
        <v>429</v>
      </c>
      <c r="G35" s="314" t="s">
        <v>194</v>
      </c>
      <c r="H35" s="17" t="s">
        <v>78</v>
      </c>
      <c r="I35" s="257">
        <f>15000/10^6</f>
        <v>1.4999999999999999E-2</v>
      </c>
      <c r="J35" s="98" t="s">
        <v>78</v>
      </c>
      <c r="K35" s="238">
        <f>21/10^6</f>
        <v>2.0999999999999999E-5</v>
      </c>
      <c r="L35" s="115">
        <f>145/10^6</f>
        <v>1.45E-4</v>
      </c>
      <c r="M35" s="238">
        <f>1/10^6</f>
        <v>9.9999999999999995E-7</v>
      </c>
      <c r="N35" s="238">
        <f>1/10^6</f>
        <v>9.9999999999999995E-7</v>
      </c>
      <c r="O35" s="238">
        <f t="shared" si="1"/>
        <v>1.2500000000000002E-7</v>
      </c>
      <c r="P35" s="237">
        <f>25/10^6</f>
        <v>2.5000000000000001E-5</v>
      </c>
      <c r="Q35" s="445" t="s">
        <v>78</v>
      </c>
      <c r="R35" s="238">
        <f>40/10^6</f>
        <v>4.0000000000000003E-5</v>
      </c>
      <c r="S35" s="238">
        <f>30/10^6</f>
        <v>3.0000000000000001E-5</v>
      </c>
      <c r="T35" s="23">
        <f>490/10^6</f>
        <v>4.8999999999999998E-4</v>
      </c>
      <c r="U35" s="183" t="s">
        <v>78</v>
      </c>
      <c r="V35" s="115" t="s">
        <v>78</v>
      </c>
      <c r="W35" s="238">
        <f>19/10^6</f>
        <v>1.9000000000000001E-5</v>
      </c>
      <c r="X35" s="98" t="s">
        <v>78</v>
      </c>
      <c r="Y35" s="238">
        <f>1/10^6</f>
        <v>9.9999999999999995E-7</v>
      </c>
      <c r="Z35" s="408">
        <f>7950/10^6</f>
        <v>7.9500000000000005E-3</v>
      </c>
      <c r="AA35" s="183" t="s">
        <v>78</v>
      </c>
      <c r="AB35" s="183" t="s">
        <v>78</v>
      </c>
      <c r="AC35" s="209">
        <f>112/10^6</f>
        <v>1.12E-4</v>
      </c>
      <c r="AD35" s="155" t="s">
        <v>78</v>
      </c>
      <c r="AE35" s="135" t="s">
        <v>78</v>
      </c>
      <c r="AF35" s="95" t="s">
        <v>78</v>
      </c>
      <c r="AG35" s="135" t="s">
        <v>78</v>
      </c>
      <c r="AH35" s="95" t="s">
        <v>78</v>
      </c>
      <c r="AI35" s="95" t="s">
        <v>78</v>
      </c>
      <c r="AJ35" s="95" t="s">
        <v>78</v>
      </c>
      <c r="AK35" s="135" t="s">
        <v>78</v>
      </c>
      <c r="AL35" s="95" t="s">
        <v>78</v>
      </c>
      <c r="AM35" s="95" t="s">
        <v>78</v>
      </c>
      <c r="AN35" s="95" t="s">
        <v>78</v>
      </c>
      <c r="AO35" s="95" t="s">
        <v>78</v>
      </c>
      <c r="AP35" s="135" t="s">
        <v>78</v>
      </c>
      <c r="AQ35" s="135" t="s">
        <v>78</v>
      </c>
      <c r="AR35" s="95" t="s">
        <v>78</v>
      </c>
      <c r="AS35" s="95" t="s">
        <v>78</v>
      </c>
      <c r="AT35" s="95" t="s">
        <v>78</v>
      </c>
      <c r="AU35" s="95" t="s">
        <v>78</v>
      </c>
      <c r="AV35" s="60" t="s">
        <v>78</v>
      </c>
      <c r="AW35" s="17" t="s">
        <v>78</v>
      </c>
      <c r="AX35" s="17" t="s">
        <v>78</v>
      </c>
      <c r="AY35" s="17" t="s">
        <v>78</v>
      </c>
      <c r="AZ35" s="69" t="s">
        <v>78</v>
      </c>
      <c r="BA35" s="17" t="s">
        <v>78</v>
      </c>
      <c r="BB35" s="17" t="s">
        <v>78</v>
      </c>
      <c r="BC35" s="69" t="s">
        <v>78</v>
      </c>
      <c r="BD35" s="69" t="s">
        <v>78</v>
      </c>
      <c r="BE35" s="17" t="s">
        <v>78</v>
      </c>
      <c r="BF35" s="17" t="s">
        <v>78</v>
      </c>
      <c r="BG35" s="17" t="s">
        <v>78</v>
      </c>
      <c r="BH35" s="17" t="s">
        <v>78</v>
      </c>
      <c r="BI35" s="17" t="s">
        <v>78</v>
      </c>
      <c r="BJ35" s="17" t="s">
        <v>78</v>
      </c>
      <c r="BK35" s="69" t="s">
        <v>78</v>
      </c>
      <c r="BL35" s="69" t="s">
        <v>78</v>
      </c>
      <c r="BM35" s="17" t="s">
        <v>78</v>
      </c>
      <c r="BN35" s="17" t="s">
        <v>78</v>
      </c>
      <c r="BO35" s="17" t="s">
        <v>78</v>
      </c>
      <c r="BP35" s="17" t="s">
        <v>78</v>
      </c>
      <c r="BQ35" s="17" t="s">
        <v>78</v>
      </c>
      <c r="BR35" s="17" t="s">
        <v>78</v>
      </c>
      <c r="BS35" s="17" t="s">
        <v>78</v>
      </c>
      <c r="BT35" s="17" t="s">
        <v>78</v>
      </c>
      <c r="BU35" s="17" t="s">
        <v>78</v>
      </c>
      <c r="BV35" s="17" t="s">
        <v>78</v>
      </c>
      <c r="BW35" s="17" t="s">
        <v>78</v>
      </c>
      <c r="BX35" s="17" t="s">
        <v>78</v>
      </c>
      <c r="BY35" s="17" t="s">
        <v>78</v>
      </c>
      <c r="BZ35" s="17" t="s">
        <v>78</v>
      </c>
      <c r="CA35" s="17" t="s">
        <v>78</v>
      </c>
      <c r="CB35" s="17" t="s">
        <v>78</v>
      </c>
      <c r="CC35" s="17" t="s">
        <v>78</v>
      </c>
      <c r="CD35" s="17" t="s">
        <v>78</v>
      </c>
      <c r="CE35" s="69" t="s">
        <v>78</v>
      </c>
      <c r="CF35" s="17" t="s">
        <v>78</v>
      </c>
      <c r="CG35" s="17" t="s">
        <v>78</v>
      </c>
      <c r="CH35" s="17" t="s">
        <v>78</v>
      </c>
      <c r="CI35" s="17" t="s">
        <v>78</v>
      </c>
      <c r="CJ35" s="69" t="s">
        <v>78</v>
      </c>
      <c r="CK35" s="17" t="s">
        <v>78</v>
      </c>
      <c r="CL35" s="17" t="s">
        <v>78</v>
      </c>
      <c r="CM35" s="17" t="s">
        <v>78</v>
      </c>
      <c r="CN35" s="17" t="s">
        <v>78</v>
      </c>
      <c r="CO35" s="17" t="s">
        <v>78</v>
      </c>
      <c r="CP35" s="17" t="s">
        <v>78</v>
      </c>
      <c r="CQ35" s="17" t="s">
        <v>78</v>
      </c>
      <c r="CR35" s="17" t="s">
        <v>78</v>
      </c>
      <c r="CS35" s="69" t="s">
        <v>78</v>
      </c>
      <c r="CT35" s="69" t="s">
        <v>78</v>
      </c>
      <c r="CU35" s="17" t="s">
        <v>78</v>
      </c>
      <c r="CV35" s="135" t="s">
        <v>78</v>
      </c>
      <c r="CW35" s="17" t="s">
        <v>78</v>
      </c>
      <c r="CX35" s="17" t="s">
        <v>78</v>
      </c>
      <c r="CY35" s="69" t="s">
        <v>78</v>
      </c>
      <c r="CZ35" s="135" t="s">
        <v>78</v>
      </c>
      <c r="DA35" s="17" t="s">
        <v>78</v>
      </c>
      <c r="DB35" s="17" t="s">
        <v>78</v>
      </c>
      <c r="DC35" s="17" t="s">
        <v>78</v>
      </c>
      <c r="DD35" s="17" t="s">
        <v>78</v>
      </c>
      <c r="DE35" s="17" t="s">
        <v>78</v>
      </c>
      <c r="DF35" s="17" t="s">
        <v>78</v>
      </c>
      <c r="DG35" s="17" t="s">
        <v>78</v>
      </c>
      <c r="DH35" s="69" t="s">
        <v>78</v>
      </c>
      <c r="DI35" s="69" t="s">
        <v>78</v>
      </c>
      <c r="DJ35" s="17" t="s">
        <v>78</v>
      </c>
      <c r="DK35" s="17" t="s">
        <v>78</v>
      </c>
      <c r="DL35" s="17" t="s">
        <v>78</v>
      </c>
      <c r="DM35" s="17" t="s">
        <v>78</v>
      </c>
      <c r="DN35" s="17" t="s">
        <v>78</v>
      </c>
      <c r="DO35" s="17" t="s">
        <v>78</v>
      </c>
      <c r="DP35" s="52" t="s">
        <v>78</v>
      </c>
    </row>
    <row r="36" spans="2:120" ht="15" thickBot="1" x14ac:dyDescent="0.4">
      <c r="B36" s="46"/>
      <c r="C36" s="302"/>
      <c r="D36" s="47"/>
      <c r="E36" s="252"/>
      <c r="F36" s="227"/>
      <c r="G36" s="56"/>
      <c r="H36" s="49"/>
      <c r="I36" s="228"/>
      <c r="J36" s="253"/>
      <c r="K36" s="254"/>
      <c r="L36" s="253"/>
      <c r="M36" s="229"/>
      <c r="N36" s="254"/>
      <c r="O36" s="254"/>
      <c r="P36" s="253"/>
      <c r="Q36" s="324"/>
      <c r="R36" s="254"/>
      <c r="S36" s="254"/>
      <c r="T36" s="254"/>
      <c r="U36" s="254"/>
      <c r="V36" s="230"/>
      <c r="W36" s="254"/>
      <c r="X36" s="253"/>
      <c r="Y36" s="254"/>
      <c r="Z36" s="229"/>
      <c r="AA36" s="229"/>
      <c r="AB36" s="229"/>
      <c r="AC36" s="255"/>
      <c r="AD36" s="256"/>
      <c r="AE36" s="253"/>
      <c r="AF36" s="105"/>
      <c r="AG36" s="234"/>
      <c r="AH36" s="254"/>
      <c r="AI36" s="235"/>
      <c r="AJ36" s="235"/>
      <c r="AK36" s="253"/>
      <c r="AL36" s="254"/>
      <c r="AM36" s="104"/>
      <c r="AN36" s="254"/>
      <c r="AO36" s="254"/>
      <c r="AP36" s="253"/>
      <c r="AQ36" s="253"/>
      <c r="AR36" s="254"/>
      <c r="AS36" s="235"/>
      <c r="AT36" s="235"/>
      <c r="AU36" s="235"/>
      <c r="AV36" s="105"/>
      <c r="AW36" s="53"/>
      <c r="AX36" s="53"/>
      <c r="AY36" s="53"/>
      <c r="AZ36" s="99"/>
      <c r="BA36" s="53"/>
      <c r="BB36" s="53"/>
      <c r="BC36" s="99"/>
      <c r="BD36" s="99"/>
      <c r="BE36" s="53"/>
      <c r="BF36" s="53"/>
      <c r="BG36" s="53"/>
      <c r="BH36" s="53"/>
      <c r="BI36" s="53"/>
      <c r="BJ36" s="53"/>
      <c r="BK36" s="253"/>
      <c r="BL36" s="253"/>
      <c r="BM36" s="53"/>
      <c r="BN36" s="53"/>
      <c r="BO36" s="53"/>
      <c r="BP36" s="53"/>
      <c r="BQ36" s="53"/>
      <c r="BR36" s="53"/>
      <c r="BS36" s="53"/>
      <c r="BT36" s="53"/>
      <c r="BU36" s="53"/>
      <c r="BV36" s="53"/>
      <c r="BW36" s="53"/>
      <c r="BX36" s="53"/>
      <c r="BY36" s="53"/>
      <c r="BZ36" s="53"/>
      <c r="CA36" s="53"/>
      <c r="CB36" s="254"/>
      <c r="CC36" s="53"/>
      <c r="CD36" s="53"/>
      <c r="CE36" s="99"/>
      <c r="CF36" s="254"/>
      <c r="CG36" s="254"/>
      <c r="CH36" s="53"/>
      <c r="CI36" s="53"/>
      <c r="CJ36" s="99"/>
      <c r="CK36" s="53"/>
      <c r="CL36" s="53"/>
      <c r="CM36" s="53"/>
      <c r="CN36" s="53"/>
      <c r="CO36" s="53"/>
      <c r="CP36" s="53"/>
      <c r="CQ36" s="53"/>
      <c r="CR36" s="53"/>
      <c r="CS36" s="99"/>
      <c r="CT36" s="253"/>
      <c r="CU36" s="324"/>
      <c r="CV36" s="99"/>
      <c r="CW36" s="53"/>
      <c r="CX36" s="53"/>
      <c r="CY36" s="253"/>
      <c r="CZ36" s="99"/>
      <c r="DA36" s="53"/>
      <c r="DB36" s="53"/>
      <c r="DC36" s="53"/>
      <c r="DD36" s="53"/>
      <c r="DE36" s="53"/>
      <c r="DF36" s="53"/>
      <c r="DG36" s="53"/>
      <c r="DH36" s="99"/>
      <c r="DI36" s="253"/>
      <c r="DJ36" s="254"/>
      <c r="DK36" s="254"/>
      <c r="DL36" s="53"/>
      <c r="DM36" s="53"/>
      <c r="DN36" s="105"/>
      <c r="DO36" s="53"/>
      <c r="DP36" s="319"/>
    </row>
    <row r="37" spans="2:120" x14ac:dyDescent="0.35">
      <c r="B37" s="223"/>
      <c r="C37" s="305" t="s">
        <v>319</v>
      </c>
      <c r="D37" s="224"/>
      <c r="E37" s="331"/>
      <c r="F37" s="243"/>
      <c r="G37" s="55"/>
      <c r="H37" s="85"/>
      <c r="I37" s="244"/>
      <c r="J37" s="270"/>
      <c r="K37" s="267"/>
      <c r="L37" s="270"/>
      <c r="M37" s="246"/>
      <c r="N37" s="267"/>
      <c r="O37" s="267"/>
      <c r="P37" s="270"/>
      <c r="Q37" s="334"/>
      <c r="R37" s="267"/>
      <c r="S37" s="267"/>
      <c r="T37" s="267"/>
      <c r="U37" s="267"/>
      <c r="V37" s="247"/>
      <c r="W37" s="267"/>
      <c r="X37" s="270"/>
      <c r="Y37" s="267"/>
      <c r="Z37" s="246"/>
      <c r="AA37" s="246"/>
      <c r="AB37" s="246"/>
      <c r="AC37" s="332"/>
      <c r="AD37" s="333"/>
      <c r="AE37" s="270"/>
      <c r="AF37" s="103"/>
      <c r="AG37" s="250"/>
      <c r="AH37" s="267"/>
      <c r="AI37" s="251"/>
      <c r="AJ37" s="251"/>
      <c r="AK37" s="270"/>
      <c r="AL37" s="267"/>
      <c r="AM37" s="102"/>
      <c r="AN37" s="267"/>
      <c r="AO37" s="267"/>
      <c r="AP37" s="270"/>
      <c r="AQ37" s="270"/>
      <c r="AR37" s="267"/>
      <c r="AS37" s="251"/>
      <c r="AT37" s="251"/>
      <c r="AU37" s="251"/>
      <c r="AV37" s="103"/>
      <c r="AW37" s="57"/>
      <c r="AX37" s="57"/>
      <c r="AY37" s="57"/>
      <c r="AZ37" s="101"/>
      <c r="BA37" s="57"/>
      <c r="BB37" s="57"/>
      <c r="BC37" s="101"/>
      <c r="BD37" s="101"/>
      <c r="BE37" s="57"/>
      <c r="BF37" s="57"/>
      <c r="BG37" s="57"/>
      <c r="BH37" s="57"/>
      <c r="BI37" s="57"/>
      <c r="BJ37" s="57"/>
      <c r="BK37" s="270"/>
      <c r="BL37" s="270"/>
      <c r="BM37" s="57"/>
      <c r="BN37" s="57"/>
      <c r="BO37" s="57"/>
      <c r="BP37" s="57"/>
      <c r="BQ37" s="57"/>
      <c r="BR37" s="57"/>
      <c r="BS37" s="57"/>
      <c r="BT37" s="57"/>
      <c r="BU37" s="57"/>
      <c r="BV37" s="57"/>
      <c r="BW37" s="57"/>
      <c r="BX37" s="57"/>
      <c r="BY37" s="57"/>
      <c r="BZ37" s="57"/>
      <c r="CA37" s="57"/>
      <c r="CB37" s="267"/>
      <c r="CC37" s="57"/>
      <c r="CD37" s="57"/>
      <c r="CE37" s="101"/>
      <c r="CF37" s="267"/>
      <c r="CG37" s="267"/>
      <c r="CH37" s="57"/>
      <c r="CI37" s="57"/>
      <c r="CJ37" s="101"/>
      <c r="CK37" s="57"/>
      <c r="CL37" s="57"/>
      <c r="CM37" s="57"/>
      <c r="CN37" s="57"/>
      <c r="CO37" s="57"/>
      <c r="CP37" s="57"/>
      <c r="CQ37" s="57"/>
      <c r="CR37" s="57"/>
      <c r="CS37" s="101"/>
      <c r="CT37" s="270"/>
      <c r="CU37" s="334"/>
      <c r="CV37" s="101"/>
      <c r="CW37" s="57"/>
      <c r="CX37" s="57"/>
      <c r="CY37" s="270"/>
      <c r="CZ37" s="101"/>
      <c r="DA37" s="57"/>
      <c r="DB37" s="57"/>
      <c r="DC37" s="57"/>
      <c r="DD37" s="57"/>
      <c r="DE37" s="57"/>
      <c r="DF37" s="57"/>
      <c r="DG37" s="57"/>
      <c r="DH37" s="101"/>
      <c r="DI37" s="270"/>
      <c r="DJ37" s="267"/>
      <c r="DK37" s="267"/>
      <c r="DL37" s="57"/>
      <c r="DM37" s="57"/>
      <c r="DN37" s="103"/>
      <c r="DO37" s="57"/>
      <c r="DP37" s="320"/>
    </row>
    <row r="38" spans="2:120" ht="16.5" x14ac:dyDescent="0.35">
      <c r="B38" s="30"/>
      <c r="C38" s="29"/>
      <c r="D38" s="31">
        <v>30502510</v>
      </c>
      <c r="E38" s="186" t="s">
        <v>296</v>
      </c>
      <c r="F38" s="189" t="s">
        <v>453</v>
      </c>
      <c r="G38" s="314" t="s">
        <v>194</v>
      </c>
      <c r="H38" s="17" t="s">
        <v>78</v>
      </c>
      <c r="I38" s="257">
        <f>15000/10^6</f>
        <v>1.4999999999999999E-2</v>
      </c>
      <c r="J38" s="237" t="s">
        <v>78</v>
      </c>
      <c r="K38" s="238">
        <f>22/10^6</f>
        <v>2.1999999999999999E-5</v>
      </c>
      <c r="L38" s="115">
        <f>225/10^6</f>
        <v>2.2499999999999999E-4</v>
      </c>
      <c r="M38" s="238">
        <f t="shared" ref="M38:N41" si="2">1/10^6</f>
        <v>9.9999999999999995E-7</v>
      </c>
      <c r="N38" s="238">
        <f t="shared" si="2"/>
        <v>9.9999999999999995E-7</v>
      </c>
      <c r="O38" s="238">
        <f>0.5%*P38</f>
        <v>1.4000000000000001E-7</v>
      </c>
      <c r="P38" s="237">
        <f>28/10^6</f>
        <v>2.8E-5</v>
      </c>
      <c r="Q38" s="439">
        <f>11/10^6</f>
        <v>1.1E-5</v>
      </c>
      <c r="R38" s="238">
        <f>37/10^6</f>
        <v>3.6999999999999998E-5</v>
      </c>
      <c r="S38" s="238">
        <f>50/10^6</f>
        <v>5.0000000000000002E-5</v>
      </c>
      <c r="T38" s="23">
        <f>530/10^6</f>
        <v>5.2999999999999998E-4</v>
      </c>
      <c r="U38" s="238" t="s">
        <v>78</v>
      </c>
      <c r="V38" s="237" t="s">
        <v>78</v>
      </c>
      <c r="W38" s="238">
        <f>28/10^6</f>
        <v>2.8E-5</v>
      </c>
      <c r="X38" s="237" t="s">
        <v>78</v>
      </c>
      <c r="Y38" s="238">
        <f>1/10^6</f>
        <v>9.9999999999999995E-7</v>
      </c>
      <c r="Z38" s="60">
        <f>5.91/100</f>
        <v>5.91E-2</v>
      </c>
      <c r="AA38" s="238" t="s">
        <v>78</v>
      </c>
      <c r="AB38" s="238" t="s">
        <v>78</v>
      </c>
      <c r="AC38" s="239">
        <f>99/10^6</f>
        <v>9.8999999999999994E-5</v>
      </c>
      <c r="AD38" s="236" t="s">
        <v>78</v>
      </c>
      <c r="AE38" s="237" t="s">
        <v>78</v>
      </c>
      <c r="AF38" s="60" t="s">
        <v>78</v>
      </c>
      <c r="AG38" s="135" t="s">
        <v>78</v>
      </c>
      <c r="AH38" s="238" t="s">
        <v>78</v>
      </c>
      <c r="AI38" s="95" t="s">
        <v>78</v>
      </c>
      <c r="AJ38" s="95" t="s">
        <v>78</v>
      </c>
      <c r="AK38" s="237" t="s">
        <v>78</v>
      </c>
      <c r="AL38" s="238" t="s">
        <v>78</v>
      </c>
      <c r="AM38" s="23" t="s">
        <v>78</v>
      </c>
      <c r="AN38" s="238" t="s">
        <v>78</v>
      </c>
      <c r="AO38" s="238" t="s">
        <v>78</v>
      </c>
      <c r="AP38" s="237" t="s">
        <v>78</v>
      </c>
      <c r="AQ38" s="237" t="s">
        <v>78</v>
      </c>
      <c r="AR38" s="238" t="s">
        <v>78</v>
      </c>
      <c r="AS38" s="95" t="s">
        <v>78</v>
      </c>
      <c r="AT38" s="95" t="s">
        <v>78</v>
      </c>
      <c r="AU38" s="95" t="s">
        <v>78</v>
      </c>
      <c r="AV38" s="60" t="s">
        <v>78</v>
      </c>
      <c r="AW38" s="17" t="s">
        <v>78</v>
      </c>
      <c r="AX38" s="17" t="s">
        <v>78</v>
      </c>
      <c r="AY38" s="17" t="s">
        <v>78</v>
      </c>
      <c r="AZ38" s="69" t="s">
        <v>78</v>
      </c>
      <c r="BA38" s="17" t="s">
        <v>78</v>
      </c>
      <c r="BB38" s="17" t="s">
        <v>78</v>
      </c>
      <c r="BC38" s="69" t="s">
        <v>78</v>
      </c>
      <c r="BD38" s="69" t="s">
        <v>78</v>
      </c>
      <c r="BE38" s="17" t="s">
        <v>78</v>
      </c>
      <c r="BF38" s="17" t="s">
        <v>78</v>
      </c>
      <c r="BG38" s="17" t="s">
        <v>78</v>
      </c>
      <c r="BH38" s="17" t="s">
        <v>78</v>
      </c>
      <c r="BI38" s="17" t="s">
        <v>78</v>
      </c>
      <c r="BJ38" s="17" t="s">
        <v>78</v>
      </c>
      <c r="BK38" s="237" t="s">
        <v>78</v>
      </c>
      <c r="BL38" s="237" t="s">
        <v>78</v>
      </c>
      <c r="BM38" s="17" t="s">
        <v>78</v>
      </c>
      <c r="BN38" s="17" t="s">
        <v>78</v>
      </c>
      <c r="BO38" s="17" t="s">
        <v>78</v>
      </c>
      <c r="BP38" s="17" t="s">
        <v>78</v>
      </c>
      <c r="BQ38" s="17" t="s">
        <v>78</v>
      </c>
      <c r="BR38" s="17" t="s">
        <v>78</v>
      </c>
      <c r="BS38" s="17" t="s">
        <v>78</v>
      </c>
      <c r="BT38" s="17" t="s">
        <v>78</v>
      </c>
      <c r="BU38" s="17" t="s">
        <v>78</v>
      </c>
      <c r="BV38" s="17" t="s">
        <v>78</v>
      </c>
      <c r="BW38" s="17" t="s">
        <v>78</v>
      </c>
      <c r="BX38" s="17" t="s">
        <v>78</v>
      </c>
      <c r="BY38" s="17" t="s">
        <v>78</v>
      </c>
      <c r="BZ38" s="17" t="s">
        <v>78</v>
      </c>
      <c r="CA38" s="17" t="s">
        <v>78</v>
      </c>
      <c r="CB38" s="238" t="s">
        <v>78</v>
      </c>
      <c r="CC38" s="17" t="s">
        <v>78</v>
      </c>
      <c r="CD38" s="17" t="s">
        <v>78</v>
      </c>
      <c r="CE38" s="69" t="s">
        <v>78</v>
      </c>
      <c r="CF38" s="238" t="s">
        <v>78</v>
      </c>
      <c r="CG38" s="238" t="s">
        <v>78</v>
      </c>
      <c r="CH38" s="17" t="s">
        <v>78</v>
      </c>
      <c r="CI38" s="17" t="s">
        <v>78</v>
      </c>
      <c r="CJ38" s="69" t="s">
        <v>78</v>
      </c>
      <c r="CK38" s="17" t="s">
        <v>78</v>
      </c>
      <c r="CL38" s="17" t="s">
        <v>78</v>
      </c>
      <c r="CM38" s="17" t="s">
        <v>78</v>
      </c>
      <c r="CN38" s="17" t="s">
        <v>78</v>
      </c>
      <c r="CO38" s="17" t="s">
        <v>78</v>
      </c>
      <c r="CP38" s="17" t="s">
        <v>78</v>
      </c>
      <c r="CQ38" s="17" t="s">
        <v>78</v>
      </c>
      <c r="CR38" s="17" t="s">
        <v>78</v>
      </c>
      <c r="CS38" s="69" t="s">
        <v>78</v>
      </c>
      <c r="CT38" s="237" t="s">
        <v>78</v>
      </c>
      <c r="CU38" s="17" t="s">
        <v>78</v>
      </c>
      <c r="CV38" s="69" t="s">
        <v>78</v>
      </c>
      <c r="CW38" s="17" t="s">
        <v>78</v>
      </c>
      <c r="CX38" s="17" t="s">
        <v>78</v>
      </c>
      <c r="CY38" s="237" t="s">
        <v>78</v>
      </c>
      <c r="CZ38" s="69" t="s">
        <v>78</v>
      </c>
      <c r="DA38" s="17" t="s">
        <v>78</v>
      </c>
      <c r="DB38" s="17" t="s">
        <v>78</v>
      </c>
      <c r="DC38" s="17" t="s">
        <v>78</v>
      </c>
      <c r="DD38" s="17" t="s">
        <v>78</v>
      </c>
      <c r="DE38" s="17" t="s">
        <v>78</v>
      </c>
      <c r="DF38" s="17" t="s">
        <v>78</v>
      </c>
      <c r="DG38" s="17" t="s">
        <v>78</v>
      </c>
      <c r="DH38" s="69" t="s">
        <v>78</v>
      </c>
      <c r="DI38" s="237" t="s">
        <v>78</v>
      </c>
      <c r="DJ38" s="17" t="s">
        <v>78</v>
      </c>
      <c r="DK38" s="17" t="s">
        <v>78</v>
      </c>
      <c r="DL38" s="17" t="s">
        <v>78</v>
      </c>
      <c r="DM38" s="17" t="s">
        <v>78</v>
      </c>
      <c r="DN38" s="60" t="s">
        <v>78</v>
      </c>
      <c r="DO38" s="17" t="s">
        <v>78</v>
      </c>
      <c r="DP38" s="52" t="s">
        <v>78</v>
      </c>
    </row>
    <row r="39" spans="2:120" ht="16.5" x14ac:dyDescent="0.35">
      <c r="B39" s="30"/>
      <c r="C39" s="29"/>
      <c r="D39" s="31">
        <v>30502511</v>
      </c>
      <c r="E39" s="186" t="s">
        <v>297</v>
      </c>
      <c r="F39" s="189" t="s">
        <v>452</v>
      </c>
      <c r="G39" s="314" t="s">
        <v>194</v>
      </c>
      <c r="H39" s="17" t="s">
        <v>78</v>
      </c>
      <c r="I39" s="257">
        <f>15000/10^6</f>
        <v>1.4999999999999999E-2</v>
      </c>
      <c r="J39" s="237" t="s">
        <v>78</v>
      </c>
      <c r="K39" s="238">
        <f>22/10^6</f>
        <v>2.1999999999999999E-5</v>
      </c>
      <c r="L39" s="115">
        <f>225/10^6</f>
        <v>2.2499999999999999E-4</v>
      </c>
      <c r="M39" s="238">
        <f t="shared" si="2"/>
        <v>9.9999999999999995E-7</v>
      </c>
      <c r="N39" s="238">
        <f t="shared" si="2"/>
        <v>9.9999999999999995E-7</v>
      </c>
      <c r="O39" s="238">
        <f t="shared" ref="O39:O42" si="3">0.5%*P39</f>
        <v>1.4000000000000001E-7</v>
      </c>
      <c r="P39" s="237">
        <f>28/10^6</f>
        <v>2.8E-5</v>
      </c>
      <c r="Q39" s="439">
        <f>11/10^6</f>
        <v>1.1E-5</v>
      </c>
      <c r="R39" s="238">
        <f>37/10^6</f>
        <v>3.6999999999999998E-5</v>
      </c>
      <c r="S39" s="238">
        <f>50/10^6</f>
        <v>5.0000000000000002E-5</v>
      </c>
      <c r="T39" s="23">
        <f>530/10^6</f>
        <v>5.2999999999999998E-4</v>
      </c>
      <c r="U39" s="238" t="s">
        <v>78</v>
      </c>
      <c r="V39" s="237" t="s">
        <v>78</v>
      </c>
      <c r="W39" s="238">
        <f>28/10^6</f>
        <v>2.8E-5</v>
      </c>
      <c r="X39" s="237" t="s">
        <v>78</v>
      </c>
      <c r="Y39" s="238">
        <f>1/10^6</f>
        <v>9.9999999999999995E-7</v>
      </c>
      <c r="Z39" s="60">
        <f>4.64/100</f>
        <v>4.6399999999999997E-2</v>
      </c>
      <c r="AA39" s="238" t="s">
        <v>78</v>
      </c>
      <c r="AB39" s="238" t="s">
        <v>78</v>
      </c>
      <c r="AC39" s="239">
        <f>99/10^6</f>
        <v>9.8999999999999994E-5</v>
      </c>
      <c r="AD39" s="236" t="s">
        <v>78</v>
      </c>
      <c r="AE39" s="237" t="s">
        <v>78</v>
      </c>
      <c r="AF39" s="60" t="s">
        <v>78</v>
      </c>
      <c r="AG39" s="135" t="s">
        <v>78</v>
      </c>
      <c r="AH39" s="238" t="s">
        <v>78</v>
      </c>
      <c r="AI39" s="95" t="s">
        <v>78</v>
      </c>
      <c r="AJ39" s="95" t="s">
        <v>78</v>
      </c>
      <c r="AK39" s="237" t="s">
        <v>78</v>
      </c>
      <c r="AL39" s="238" t="s">
        <v>78</v>
      </c>
      <c r="AM39" s="23" t="s">
        <v>78</v>
      </c>
      <c r="AN39" s="238" t="s">
        <v>78</v>
      </c>
      <c r="AO39" s="238" t="s">
        <v>78</v>
      </c>
      <c r="AP39" s="237" t="s">
        <v>78</v>
      </c>
      <c r="AQ39" s="237" t="s">
        <v>78</v>
      </c>
      <c r="AR39" s="238" t="s">
        <v>78</v>
      </c>
      <c r="AS39" s="95" t="s">
        <v>78</v>
      </c>
      <c r="AT39" s="95" t="s">
        <v>78</v>
      </c>
      <c r="AU39" s="95" t="s">
        <v>78</v>
      </c>
      <c r="AV39" s="60" t="s">
        <v>78</v>
      </c>
      <c r="AW39" s="17" t="s">
        <v>78</v>
      </c>
      <c r="AX39" s="17" t="s">
        <v>78</v>
      </c>
      <c r="AY39" s="17" t="s">
        <v>78</v>
      </c>
      <c r="AZ39" s="69" t="s">
        <v>78</v>
      </c>
      <c r="BA39" s="17" t="s">
        <v>78</v>
      </c>
      <c r="BB39" s="17" t="s">
        <v>78</v>
      </c>
      <c r="BC39" s="69" t="s">
        <v>78</v>
      </c>
      <c r="BD39" s="69" t="s">
        <v>78</v>
      </c>
      <c r="BE39" s="17" t="s">
        <v>78</v>
      </c>
      <c r="BF39" s="17" t="s">
        <v>78</v>
      </c>
      <c r="BG39" s="17" t="s">
        <v>78</v>
      </c>
      <c r="BH39" s="17" t="s">
        <v>78</v>
      </c>
      <c r="BI39" s="17" t="s">
        <v>78</v>
      </c>
      <c r="BJ39" s="17" t="s">
        <v>78</v>
      </c>
      <c r="BK39" s="237" t="s">
        <v>78</v>
      </c>
      <c r="BL39" s="237" t="s">
        <v>78</v>
      </c>
      <c r="BM39" s="17" t="s">
        <v>78</v>
      </c>
      <c r="BN39" s="17" t="s">
        <v>78</v>
      </c>
      <c r="BO39" s="17" t="s">
        <v>78</v>
      </c>
      <c r="BP39" s="17" t="s">
        <v>78</v>
      </c>
      <c r="BQ39" s="17" t="s">
        <v>78</v>
      </c>
      <c r="BR39" s="17" t="s">
        <v>78</v>
      </c>
      <c r="BS39" s="17" t="s">
        <v>78</v>
      </c>
      <c r="BT39" s="17" t="s">
        <v>78</v>
      </c>
      <c r="BU39" s="17" t="s">
        <v>78</v>
      </c>
      <c r="BV39" s="17" t="s">
        <v>78</v>
      </c>
      <c r="BW39" s="17" t="s">
        <v>78</v>
      </c>
      <c r="BX39" s="17" t="s">
        <v>78</v>
      </c>
      <c r="BY39" s="17" t="s">
        <v>78</v>
      </c>
      <c r="BZ39" s="17" t="s">
        <v>78</v>
      </c>
      <c r="CA39" s="17" t="s">
        <v>78</v>
      </c>
      <c r="CB39" s="238" t="s">
        <v>78</v>
      </c>
      <c r="CC39" s="17" t="s">
        <v>78</v>
      </c>
      <c r="CD39" s="17" t="s">
        <v>78</v>
      </c>
      <c r="CE39" s="69" t="s">
        <v>78</v>
      </c>
      <c r="CF39" s="238" t="s">
        <v>78</v>
      </c>
      <c r="CG39" s="238" t="s">
        <v>78</v>
      </c>
      <c r="CH39" s="17" t="s">
        <v>78</v>
      </c>
      <c r="CI39" s="17" t="s">
        <v>78</v>
      </c>
      <c r="CJ39" s="69" t="s">
        <v>78</v>
      </c>
      <c r="CK39" s="17" t="s">
        <v>78</v>
      </c>
      <c r="CL39" s="17" t="s">
        <v>78</v>
      </c>
      <c r="CM39" s="17" t="s">
        <v>78</v>
      </c>
      <c r="CN39" s="17" t="s">
        <v>78</v>
      </c>
      <c r="CO39" s="17" t="s">
        <v>78</v>
      </c>
      <c r="CP39" s="17" t="s">
        <v>78</v>
      </c>
      <c r="CQ39" s="17" t="s">
        <v>78</v>
      </c>
      <c r="CR39" s="17" t="s">
        <v>78</v>
      </c>
      <c r="CS39" s="69" t="s">
        <v>78</v>
      </c>
      <c r="CT39" s="237" t="s">
        <v>78</v>
      </c>
      <c r="CU39" s="17" t="s">
        <v>78</v>
      </c>
      <c r="CV39" s="69" t="s">
        <v>78</v>
      </c>
      <c r="CW39" s="17" t="s">
        <v>78</v>
      </c>
      <c r="CX39" s="17" t="s">
        <v>78</v>
      </c>
      <c r="CY39" s="237" t="s">
        <v>78</v>
      </c>
      <c r="CZ39" s="69" t="s">
        <v>78</v>
      </c>
      <c r="DA39" s="17" t="s">
        <v>78</v>
      </c>
      <c r="DB39" s="17" t="s">
        <v>78</v>
      </c>
      <c r="DC39" s="17" t="s">
        <v>78</v>
      </c>
      <c r="DD39" s="17" t="s">
        <v>78</v>
      </c>
      <c r="DE39" s="17" t="s">
        <v>78</v>
      </c>
      <c r="DF39" s="17" t="s">
        <v>78</v>
      </c>
      <c r="DG39" s="17" t="s">
        <v>78</v>
      </c>
      <c r="DH39" s="69" t="s">
        <v>78</v>
      </c>
      <c r="DI39" s="237" t="s">
        <v>78</v>
      </c>
      <c r="DJ39" s="17" t="s">
        <v>78</v>
      </c>
      <c r="DK39" s="17" t="s">
        <v>78</v>
      </c>
      <c r="DL39" s="17" t="s">
        <v>78</v>
      </c>
      <c r="DM39" s="17" t="s">
        <v>78</v>
      </c>
      <c r="DN39" s="60" t="s">
        <v>78</v>
      </c>
      <c r="DO39" s="17" t="s">
        <v>78</v>
      </c>
      <c r="DP39" s="52" t="s">
        <v>78</v>
      </c>
    </row>
    <row r="40" spans="2:120" ht="16.5" x14ac:dyDescent="0.35">
      <c r="B40" s="30"/>
      <c r="C40" s="29"/>
      <c r="D40" s="311"/>
      <c r="E40" s="186" t="s">
        <v>298</v>
      </c>
      <c r="F40" s="189" t="s">
        <v>451</v>
      </c>
      <c r="G40" s="314" t="s">
        <v>194</v>
      </c>
      <c r="H40" s="17" t="s">
        <v>78</v>
      </c>
      <c r="I40" s="257">
        <f>15000/10^6</f>
        <v>1.4999999999999999E-2</v>
      </c>
      <c r="J40" s="237" t="s">
        <v>78</v>
      </c>
      <c r="K40" s="238">
        <f>22/10^6</f>
        <v>2.1999999999999999E-5</v>
      </c>
      <c r="L40" s="115">
        <f>225/10^6</f>
        <v>2.2499999999999999E-4</v>
      </c>
      <c r="M40" s="238">
        <f t="shared" si="2"/>
        <v>9.9999999999999995E-7</v>
      </c>
      <c r="N40" s="238">
        <f t="shared" si="2"/>
        <v>9.9999999999999995E-7</v>
      </c>
      <c r="O40" s="238">
        <f t="shared" si="3"/>
        <v>1.4000000000000001E-7</v>
      </c>
      <c r="P40" s="237">
        <f>28/10^6</f>
        <v>2.8E-5</v>
      </c>
      <c r="Q40" s="439">
        <f>11/10^6</f>
        <v>1.1E-5</v>
      </c>
      <c r="R40" s="238">
        <f>37/10^6</f>
        <v>3.6999999999999998E-5</v>
      </c>
      <c r="S40" s="238">
        <f>50/10^6</f>
        <v>5.0000000000000002E-5</v>
      </c>
      <c r="T40" s="23">
        <f>530/10^6</f>
        <v>5.2999999999999998E-4</v>
      </c>
      <c r="U40" s="238" t="s">
        <v>78</v>
      </c>
      <c r="V40" s="237" t="s">
        <v>78</v>
      </c>
      <c r="W40" s="238">
        <f>28/10^6</f>
        <v>2.8E-5</v>
      </c>
      <c r="X40" s="237" t="s">
        <v>78</v>
      </c>
      <c r="Y40" s="238">
        <f>1/10^6</f>
        <v>9.9999999999999995E-7</v>
      </c>
      <c r="Z40" s="60">
        <f>6.25/100</f>
        <v>6.25E-2</v>
      </c>
      <c r="AA40" s="238" t="s">
        <v>78</v>
      </c>
      <c r="AB40" s="238" t="s">
        <v>78</v>
      </c>
      <c r="AC40" s="239">
        <f>99/10^6</f>
        <v>9.8999999999999994E-5</v>
      </c>
      <c r="AD40" s="236" t="s">
        <v>78</v>
      </c>
      <c r="AE40" s="237" t="s">
        <v>78</v>
      </c>
      <c r="AF40" s="60" t="s">
        <v>78</v>
      </c>
      <c r="AG40" s="135" t="s">
        <v>78</v>
      </c>
      <c r="AH40" s="238" t="s">
        <v>78</v>
      </c>
      <c r="AI40" s="95" t="s">
        <v>78</v>
      </c>
      <c r="AJ40" s="95" t="s">
        <v>78</v>
      </c>
      <c r="AK40" s="237" t="s">
        <v>78</v>
      </c>
      <c r="AL40" s="238" t="s">
        <v>78</v>
      </c>
      <c r="AM40" s="23" t="s">
        <v>78</v>
      </c>
      <c r="AN40" s="238" t="s">
        <v>78</v>
      </c>
      <c r="AO40" s="238" t="s">
        <v>78</v>
      </c>
      <c r="AP40" s="237" t="s">
        <v>78</v>
      </c>
      <c r="AQ40" s="237" t="s">
        <v>78</v>
      </c>
      <c r="AR40" s="238" t="s">
        <v>78</v>
      </c>
      <c r="AS40" s="95" t="s">
        <v>78</v>
      </c>
      <c r="AT40" s="95" t="s">
        <v>78</v>
      </c>
      <c r="AU40" s="95" t="s">
        <v>78</v>
      </c>
      <c r="AV40" s="60" t="s">
        <v>78</v>
      </c>
      <c r="AW40" s="17" t="s">
        <v>78</v>
      </c>
      <c r="AX40" s="17" t="s">
        <v>78</v>
      </c>
      <c r="AY40" s="17" t="s">
        <v>78</v>
      </c>
      <c r="AZ40" s="69" t="s">
        <v>78</v>
      </c>
      <c r="BA40" s="17" t="s">
        <v>78</v>
      </c>
      <c r="BB40" s="17" t="s">
        <v>78</v>
      </c>
      <c r="BC40" s="69" t="s">
        <v>78</v>
      </c>
      <c r="BD40" s="69" t="s">
        <v>78</v>
      </c>
      <c r="BE40" s="17" t="s">
        <v>78</v>
      </c>
      <c r="BF40" s="17" t="s">
        <v>78</v>
      </c>
      <c r="BG40" s="17" t="s">
        <v>78</v>
      </c>
      <c r="BH40" s="17" t="s">
        <v>78</v>
      </c>
      <c r="BI40" s="17" t="s">
        <v>78</v>
      </c>
      <c r="BJ40" s="17" t="s">
        <v>78</v>
      </c>
      <c r="BK40" s="237" t="s">
        <v>78</v>
      </c>
      <c r="BL40" s="237" t="s">
        <v>78</v>
      </c>
      <c r="BM40" s="17" t="s">
        <v>78</v>
      </c>
      <c r="BN40" s="17" t="s">
        <v>78</v>
      </c>
      <c r="BO40" s="17" t="s">
        <v>78</v>
      </c>
      <c r="BP40" s="17" t="s">
        <v>78</v>
      </c>
      <c r="BQ40" s="17" t="s">
        <v>78</v>
      </c>
      <c r="BR40" s="17" t="s">
        <v>78</v>
      </c>
      <c r="BS40" s="17" t="s">
        <v>78</v>
      </c>
      <c r="BT40" s="17" t="s">
        <v>78</v>
      </c>
      <c r="BU40" s="17" t="s">
        <v>78</v>
      </c>
      <c r="BV40" s="17" t="s">
        <v>78</v>
      </c>
      <c r="BW40" s="17" t="s">
        <v>78</v>
      </c>
      <c r="BX40" s="17" t="s">
        <v>78</v>
      </c>
      <c r="BY40" s="17" t="s">
        <v>78</v>
      </c>
      <c r="BZ40" s="17" t="s">
        <v>78</v>
      </c>
      <c r="CA40" s="17" t="s">
        <v>78</v>
      </c>
      <c r="CB40" s="238" t="s">
        <v>78</v>
      </c>
      <c r="CC40" s="17" t="s">
        <v>78</v>
      </c>
      <c r="CD40" s="17" t="s">
        <v>78</v>
      </c>
      <c r="CE40" s="69" t="s">
        <v>78</v>
      </c>
      <c r="CF40" s="238" t="s">
        <v>78</v>
      </c>
      <c r="CG40" s="238" t="s">
        <v>78</v>
      </c>
      <c r="CH40" s="17" t="s">
        <v>78</v>
      </c>
      <c r="CI40" s="17" t="s">
        <v>78</v>
      </c>
      <c r="CJ40" s="69" t="s">
        <v>78</v>
      </c>
      <c r="CK40" s="17" t="s">
        <v>78</v>
      </c>
      <c r="CL40" s="17" t="s">
        <v>78</v>
      </c>
      <c r="CM40" s="17" t="s">
        <v>78</v>
      </c>
      <c r="CN40" s="17" t="s">
        <v>78</v>
      </c>
      <c r="CO40" s="17" t="s">
        <v>78</v>
      </c>
      <c r="CP40" s="17" t="s">
        <v>78</v>
      </c>
      <c r="CQ40" s="17" t="s">
        <v>78</v>
      </c>
      <c r="CR40" s="17" t="s">
        <v>78</v>
      </c>
      <c r="CS40" s="69" t="s">
        <v>78</v>
      </c>
      <c r="CT40" s="237" t="s">
        <v>78</v>
      </c>
      <c r="CU40" s="17" t="s">
        <v>78</v>
      </c>
      <c r="CV40" s="69" t="s">
        <v>78</v>
      </c>
      <c r="CW40" s="17" t="s">
        <v>78</v>
      </c>
      <c r="CX40" s="17" t="s">
        <v>78</v>
      </c>
      <c r="CY40" s="237" t="s">
        <v>78</v>
      </c>
      <c r="CZ40" s="69" t="s">
        <v>78</v>
      </c>
      <c r="DA40" s="17" t="s">
        <v>78</v>
      </c>
      <c r="DB40" s="17" t="s">
        <v>78</v>
      </c>
      <c r="DC40" s="17" t="s">
        <v>78</v>
      </c>
      <c r="DD40" s="17" t="s">
        <v>78</v>
      </c>
      <c r="DE40" s="17" t="s">
        <v>78</v>
      </c>
      <c r="DF40" s="17" t="s">
        <v>78</v>
      </c>
      <c r="DG40" s="17" t="s">
        <v>78</v>
      </c>
      <c r="DH40" s="69" t="s">
        <v>78</v>
      </c>
      <c r="DI40" s="237" t="s">
        <v>78</v>
      </c>
      <c r="DJ40" s="17" t="s">
        <v>78</v>
      </c>
      <c r="DK40" s="17" t="s">
        <v>78</v>
      </c>
      <c r="DL40" s="17" t="s">
        <v>78</v>
      </c>
      <c r="DM40" s="17" t="s">
        <v>78</v>
      </c>
      <c r="DN40" s="60" t="s">
        <v>78</v>
      </c>
      <c r="DO40" s="17" t="s">
        <v>78</v>
      </c>
      <c r="DP40" s="52" t="s">
        <v>78</v>
      </c>
    </row>
    <row r="41" spans="2:120" ht="16.5" x14ac:dyDescent="0.35">
      <c r="B41" s="30"/>
      <c r="C41" s="29"/>
      <c r="D41" s="311"/>
      <c r="E41" s="186" t="s">
        <v>300</v>
      </c>
      <c r="F41" s="189" t="s">
        <v>454</v>
      </c>
      <c r="G41" s="314" t="s">
        <v>194</v>
      </c>
      <c r="H41" s="17" t="s">
        <v>78</v>
      </c>
      <c r="I41" s="257" t="s">
        <v>78</v>
      </c>
      <c r="J41" s="237" t="s">
        <v>78</v>
      </c>
      <c r="K41" s="238">
        <f>20/10^6</f>
        <v>2.0000000000000002E-5</v>
      </c>
      <c r="L41" s="115" t="s">
        <v>78</v>
      </c>
      <c r="M41" s="238">
        <f t="shared" si="2"/>
        <v>9.9999999999999995E-7</v>
      </c>
      <c r="N41" s="238">
        <f t="shared" si="2"/>
        <v>9.9999999999999995E-7</v>
      </c>
      <c r="O41" s="238">
        <f t="shared" si="3"/>
        <v>2.5000000000000004E-7</v>
      </c>
      <c r="P41" s="237">
        <f>50/10^6</f>
        <v>5.0000000000000002E-5</v>
      </c>
      <c r="Q41" s="439" t="s">
        <v>78</v>
      </c>
      <c r="R41" s="60">
        <f>100/10^6</f>
        <v>1E-4</v>
      </c>
      <c r="S41" s="238">
        <f>50/10^6</f>
        <v>5.0000000000000002E-5</v>
      </c>
      <c r="T41" s="60">
        <f>500/10^6</f>
        <v>5.0000000000000001E-4</v>
      </c>
      <c r="U41" s="238" t="s">
        <v>78</v>
      </c>
      <c r="V41" s="237"/>
      <c r="W41" s="238">
        <f>20/10^6</f>
        <v>2.0000000000000002E-5</v>
      </c>
      <c r="X41" s="237" t="s">
        <v>78</v>
      </c>
      <c r="Y41" s="238">
        <f>5/10^6</f>
        <v>5.0000000000000004E-6</v>
      </c>
      <c r="Z41" s="60">
        <f>6.25/100</f>
        <v>6.25E-2</v>
      </c>
      <c r="AA41" s="238" t="s">
        <v>78</v>
      </c>
      <c r="AB41" s="238" t="s">
        <v>78</v>
      </c>
      <c r="AC41" s="114">
        <f>200/10^6</f>
        <v>2.0000000000000001E-4</v>
      </c>
      <c r="AD41" s="236" t="s">
        <v>78</v>
      </c>
      <c r="AE41" s="237" t="s">
        <v>78</v>
      </c>
      <c r="AF41" s="60" t="s">
        <v>78</v>
      </c>
      <c r="AG41" s="135" t="s">
        <v>78</v>
      </c>
      <c r="AH41" s="238" t="s">
        <v>78</v>
      </c>
      <c r="AI41" s="95" t="s">
        <v>78</v>
      </c>
      <c r="AJ41" s="95" t="s">
        <v>78</v>
      </c>
      <c r="AK41" s="237" t="s">
        <v>78</v>
      </c>
      <c r="AL41" s="238" t="s">
        <v>78</v>
      </c>
      <c r="AM41" s="23" t="s">
        <v>78</v>
      </c>
      <c r="AN41" s="238" t="s">
        <v>78</v>
      </c>
      <c r="AO41" s="238" t="s">
        <v>78</v>
      </c>
      <c r="AP41" s="237" t="s">
        <v>78</v>
      </c>
      <c r="AQ41" s="237" t="s">
        <v>78</v>
      </c>
      <c r="AR41" s="238" t="s">
        <v>78</v>
      </c>
      <c r="AS41" s="95" t="s">
        <v>78</v>
      </c>
      <c r="AT41" s="95" t="s">
        <v>78</v>
      </c>
      <c r="AU41" s="95" t="s">
        <v>78</v>
      </c>
      <c r="AV41" s="60" t="s">
        <v>78</v>
      </c>
      <c r="AW41" s="17" t="s">
        <v>78</v>
      </c>
      <c r="AX41" s="17" t="s">
        <v>78</v>
      </c>
      <c r="AY41" s="17" t="s">
        <v>78</v>
      </c>
      <c r="AZ41" s="69" t="s">
        <v>78</v>
      </c>
      <c r="BA41" s="17" t="s">
        <v>78</v>
      </c>
      <c r="BB41" s="17" t="s">
        <v>78</v>
      </c>
      <c r="BC41" s="69" t="s">
        <v>78</v>
      </c>
      <c r="BD41" s="69" t="s">
        <v>78</v>
      </c>
      <c r="BE41" s="17" t="s">
        <v>78</v>
      </c>
      <c r="BF41" s="17" t="s">
        <v>78</v>
      </c>
      <c r="BG41" s="17" t="s">
        <v>78</v>
      </c>
      <c r="BH41" s="17" t="s">
        <v>78</v>
      </c>
      <c r="BI41" s="17" t="s">
        <v>78</v>
      </c>
      <c r="BJ41" s="17" t="s">
        <v>78</v>
      </c>
      <c r="BK41" s="237" t="s">
        <v>78</v>
      </c>
      <c r="BL41" s="237" t="s">
        <v>78</v>
      </c>
      <c r="BM41" s="17" t="s">
        <v>78</v>
      </c>
      <c r="BN41" s="17" t="s">
        <v>78</v>
      </c>
      <c r="BO41" s="17" t="s">
        <v>78</v>
      </c>
      <c r="BP41" s="17" t="s">
        <v>78</v>
      </c>
      <c r="BQ41" s="17" t="s">
        <v>78</v>
      </c>
      <c r="BR41" s="17" t="s">
        <v>78</v>
      </c>
      <c r="BS41" s="17" t="s">
        <v>78</v>
      </c>
      <c r="BT41" s="17" t="s">
        <v>78</v>
      </c>
      <c r="BU41" s="17" t="s">
        <v>78</v>
      </c>
      <c r="BV41" s="17" t="s">
        <v>78</v>
      </c>
      <c r="BW41" s="17" t="s">
        <v>78</v>
      </c>
      <c r="BX41" s="17" t="s">
        <v>78</v>
      </c>
      <c r="BY41" s="17" t="s">
        <v>78</v>
      </c>
      <c r="BZ41" s="17" t="s">
        <v>78</v>
      </c>
      <c r="CA41" s="17" t="s">
        <v>78</v>
      </c>
      <c r="CB41" s="238" t="s">
        <v>78</v>
      </c>
      <c r="CC41" s="17" t="s">
        <v>78</v>
      </c>
      <c r="CD41" s="17" t="s">
        <v>78</v>
      </c>
      <c r="CE41" s="69" t="s">
        <v>78</v>
      </c>
      <c r="CF41" s="238" t="s">
        <v>78</v>
      </c>
      <c r="CG41" s="238" t="s">
        <v>78</v>
      </c>
      <c r="CH41" s="17" t="s">
        <v>78</v>
      </c>
      <c r="CI41" s="17" t="s">
        <v>78</v>
      </c>
      <c r="CJ41" s="69" t="s">
        <v>78</v>
      </c>
      <c r="CK41" s="17" t="s">
        <v>78</v>
      </c>
      <c r="CL41" s="17" t="s">
        <v>78</v>
      </c>
      <c r="CM41" s="17" t="s">
        <v>78</v>
      </c>
      <c r="CN41" s="17" t="s">
        <v>78</v>
      </c>
      <c r="CO41" s="17" t="s">
        <v>78</v>
      </c>
      <c r="CP41" s="17" t="s">
        <v>78</v>
      </c>
      <c r="CQ41" s="17" t="s">
        <v>78</v>
      </c>
      <c r="CR41" s="17" t="s">
        <v>78</v>
      </c>
      <c r="CS41" s="69" t="s">
        <v>78</v>
      </c>
      <c r="CT41" s="237" t="s">
        <v>78</v>
      </c>
      <c r="CU41" s="17" t="s">
        <v>78</v>
      </c>
      <c r="CV41" s="69" t="s">
        <v>78</v>
      </c>
      <c r="CW41" s="17" t="s">
        <v>78</v>
      </c>
      <c r="CX41" s="17" t="s">
        <v>78</v>
      </c>
      <c r="CY41" s="237" t="s">
        <v>78</v>
      </c>
      <c r="CZ41" s="69" t="s">
        <v>78</v>
      </c>
      <c r="DA41" s="17" t="s">
        <v>78</v>
      </c>
      <c r="DB41" s="17" t="s">
        <v>78</v>
      </c>
      <c r="DC41" s="17" t="s">
        <v>78</v>
      </c>
      <c r="DD41" s="17" t="s">
        <v>78</v>
      </c>
      <c r="DE41" s="17" t="s">
        <v>78</v>
      </c>
      <c r="DF41" s="17" t="s">
        <v>78</v>
      </c>
      <c r="DG41" s="17" t="s">
        <v>78</v>
      </c>
      <c r="DH41" s="69" t="s">
        <v>78</v>
      </c>
      <c r="DI41" s="237" t="s">
        <v>78</v>
      </c>
      <c r="DJ41" s="17" t="s">
        <v>78</v>
      </c>
      <c r="DK41" s="17" t="s">
        <v>78</v>
      </c>
      <c r="DL41" s="17" t="s">
        <v>78</v>
      </c>
      <c r="DM41" s="17" t="s">
        <v>78</v>
      </c>
      <c r="DN41" s="60" t="s">
        <v>78</v>
      </c>
      <c r="DO41" s="17" t="s">
        <v>78</v>
      </c>
      <c r="DP41" s="52" t="s">
        <v>78</v>
      </c>
    </row>
    <row r="42" spans="2:120" ht="16.5" x14ac:dyDescent="0.35">
      <c r="B42" s="30"/>
      <c r="C42" s="29"/>
      <c r="D42" s="311"/>
      <c r="E42" s="186" t="s">
        <v>320</v>
      </c>
      <c r="F42" s="189" t="s">
        <v>429</v>
      </c>
      <c r="G42" s="314" t="s">
        <v>194</v>
      </c>
      <c r="H42" s="17" t="s">
        <v>78</v>
      </c>
      <c r="I42" s="257">
        <f>15000/10^6</f>
        <v>1.4999999999999999E-2</v>
      </c>
      <c r="J42" s="98" t="s">
        <v>78</v>
      </c>
      <c r="K42" s="238">
        <f>21/10^6</f>
        <v>2.0999999999999999E-5</v>
      </c>
      <c r="L42" s="115">
        <f>145/10^6</f>
        <v>1.45E-4</v>
      </c>
      <c r="M42" s="238">
        <f>1/10^6</f>
        <v>9.9999999999999995E-7</v>
      </c>
      <c r="N42" s="238">
        <f>1/10^6</f>
        <v>9.9999999999999995E-7</v>
      </c>
      <c r="O42" s="238">
        <f t="shared" si="3"/>
        <v>1.2500000000000002E-7</v>
      </c>
      <c r="P42" s="237">
        <f>25/10^6</f>
        <v>2.5000000000000001E-5</v>
      </c>
      <c r="Q42" s="445" t="s">
        <v>78</v>
      </c>
      <c r="R42" s="238">
        <f>40/10^6</f>
        <v>4.0000000000000003E-5</v>
      </c>
      <c r="S42" s="238">
        <f>30/10^6</f>
        <v>3.0000000000000001E-5</v>
      </c>
      <c r="T42" s="23">
        <f>490/10^6</f>
        <v>4.8999999999999998E-4</v>
      </c>
      <c r="U42" s="183" t="s">
        <v>78</v>
      </c>
      <c r="V42" s="115" t="s">
        <v>78</v>
      </c>
      <c r="W42" s="238">
        <f>19/10^6</f>
        <v>1.9000000000000001E-5</v>
      </c>
      <c r="X42" s="98" t="s">
        <v>78</v>
      </c>
      <c r="Y42" s="238">
        <f>1/10^6</f>
        <v>9.9999999999999995E-7</v>
      </c>
      <c r="Z42" s="408">
        <f>7950/10^6</f>
        <v>7.9500000000000005E-3</v>
      </c>
      <c r="AA42" s="183" t="s">
        <v>78</v>
      </c>
      <c r="AB42" s="183" t="s">
        <v>78</v>
      </c>
      <c r="AC42" s="209">
        <f>112/10^6</f>
        <v>1.12E-4</v>
      </c>
      <c r="AD42" s="155" t="s">
        <v>78</v>
      </c>
      <c r="AE42" s="135" t="s">
        <v>78</v>
      </c>
      <c r="AF42" s="95" t="s">
        <v>78</v>
      </c>
      <c r="AG42" s="135" t="s">
        <v>78</v>
      </c>
      <c r="AH42" s="95" t="s">
        <v>78</v>
      </c>
      <c r="AI42" s="95" t="s">
        <v>78</v>
      </c>
      <c r="AJ42" s="95" t="s">
        <v>78</v>
      </c>
      <c r="AK42" s="135" t="s">
        <v>78</v>
      </c>
      <c r="AL42" s="95" t="s">
        <v>78</v>
      </c>
      <c r="AM42" s="95" t="s">
        <v>78</v>
      </c>
      <c r="AN42" s="95" t="s">
        <v>78</v>
      </c>
      <c r="AO42" s="95" t="s">
        <v>78</v>
      </c>
      <c r="AP42" s="135" t="s">
        <v>78</v>
      </c>
      <c r="AQ42" s="135" t="s">
        <v>78</v>
      </c>
      <c r="AR42" s="95" t="s">
        <v>78</v>
      </c>
      <c r="AS42" s="95" t="s">
        <v>78</v>
      </c>
      <c r="AT42" s="95" t="s">
        <v>78</v>
      </c>
      <c r="AU42" s="95" t="s">
        <v>78</v>
      </c>
      <c r="AV42" s="60" t="s">
        <v>78</v>
      </c>
      <c r="AW42" s="17" t="s">
        <v>78</v>
      </c>
      <c r="AX42" s="17" t="s">
        <v>78</v>
      </c>
      <c r="AY42" s="17" t="s">
        <v>78</v>
      </c>
      <c r="AZ42" s="69" t="s">
        <v>78</v>
      </c>
      <c r="BA42" s="17" t="s">
        <v>78</v>
      </c>
      <c r="BB42" s="17" t="s">
        <v>78</v>
      </c>
      <c r="BC42" s="69" t="s">
        <v>78</v>
      </c>
      <c r="BD42" s="69" t="s">
        <v>78</v>
      </c>
      <c r="BE42" s="17" t="s">
        <v>78</v>
      </c>
      <c r="BF42" s="17" t="s">
        <v>78</v>
      </c>
      <c r="BG42" s="17" t="s">
        <v>78</v>
      </c>
      <c r="BH42" s="17" t="s">
        <v>78</v>
      </c>
      <c r="BI42" s="17" t="s">
        <v>78</v>
      </c>
      <c r="BJ42" s="17" t="s">
        <v>78</v>
      </c>
      <c r="BK42" s="69" t="s">
        <v>78</v>
      </c>
      <c r="BL42" s="69" t="s">
        <v>78</v>
      </c>
      <c r="BM42" s="17" t="s">
        <v>78</v>
      </c>
      <c r="BN42" s="17" t="s">
        <v>78</v>
      </c>
      <c r="BO42" s="17" t="s">
        <v>78</v>
      </c>
      <c r="BP42" s="17" t="s">
        <v>78</v>
      </c>
      <c r="BQ42" s="17" t="s">
        <v>78</v>
      </c>
      <c r="BR42" s="17" t="s">
        <v>78</v>
      </c>
      <c r="BS42" s="17" t="s">
        <v>78</v>
      </c>
      <c r="BT42" s="17" t="s">
        <v>78</v>
      </c>
      <c r="BU42" s="17" t="s">
        <v>78</v>
      </c>
      <c r="BV42" s="17" t="s">
        <v>78</v>
      </c>
      <c r="BW42" s="17" t="s">
        <v>78</v>
      </c>
      <c r="BX42" s="17" t="s">
        <v>78</v>
      </c>
      <c r="BY42" s="17" t="s">
        <v>78</v>
      </c>
      <c r="BZ42" s="17" t="s">
        <v>78</v>
      </c>
      <c r="CA42" s="17" t="s">
        <v>78</v>
      </c>
      <c r="CB42" s="17" t="s">
        <v>78</v>
      </c>
      <c r="CC42" s="17" t="s">
        <v>78</v>
      </c>
      <c r="CD42" s="17" t="s">
        <v>78</v>
      </c>
      <c r="CE42" s="69" t="s">
        <v>78</v>
      </c>
      <c r="CF42" s="17" t="s">
        <v>78</v>
      </c>
      <c r="CG42" s="17" t="s">
        <v>78</v>
      </c>
      <c r="CH42" s="17" t="s">
        <v>78</v>
      </c>
      <c r="CI42" s="17" t="s">
        <v>78</v>
      </c>
      <c r="CJ42" s="69" t="s">
        <v>78</v>
      </c>
      <c r="CK42" s="17" t="s">
        <v>78</v>
      </c>
      <c r="CL42" s="17" t="s">
        <v>78</v>
      </c>
      <c r="CM42" s="17" t="s">
        <v>78</v>
      </c>
      <c r="CN42" s="17" t="s">
        <v>78</v>
      </c>
      <c r="CO42" s="17" t="s">
        <v>78</v>
      </c>
      <c r="CP42" s="17" t="s">
        <v>78</v>
      </c>
      <c r="CQ42" s="17" t="s">
        <v>78</v>
      </c>
      <c r="CR42" s="17" t="s">
        <v>78</v>
      </c>
      <c r="CS42" s="69" t="s">
        <v>78</v>
      </c>
      <c r="CT42" s="69" t="s">
        <v>78</v>
      </c>
      <c r="CU42" s="17" t="s">
        <v>78</v>
      </c>
      <c r="CV42" s="135" t="s">
        <v>78</v>
      </c>
      <c r="CW42" s="17" t="s">
        <v>78</v>
      </c>
      <c r="CX42" s="17" t="s">
        <v>78</v>
      </c>
      <c r="CY42" s="69" t="s">
        <v>78</v>
      </c>
      <c r="CZ42" s="135" t="s">
        <v>78</v>
      </c>
      <c r="DA42" s="17" t="s">
        <v>78</v>
      </c>
      <c r="DB42" s="17" t="s">
        <v>78</v>
      </c>
      <c r="DC42" s="17" t="s">
        <v>78</v>
      </c>
      <c r="DD42" s="17" t="s">
        <v>78</v>
      </c>
      <c r="DE42" s="17" t="s">
        <v>78</v>
      </c>
      <c r="DF42" s="17" t="s">
        <v>78</v>
      </c>
      <c r="DG42" s="17" t="s">
        <v>78</v>
      </c>
      <c r="DH42" s="69" t="s">
        <v>78</v>
      </c>
      <c r="DI42" s="69" t="s">
        <v>78</v>
      </c>
      <c r="DJ42" s="17" t="s">
        <v>78</v>
      </c>
      <c r="DK42" s="17" t="s">
        <v>78</v>
      </c>
      <c r="DL42" s="17" t="s">
        <v>78</v>
      </c>
      <c r="DM42" s="17" t="s">
        <v>78</v>
      </c>
      <c r="DN42" s="17" t="s">
        <v>78</v>
      </c>
      <c r="DO42" s="17" t="s">
        <v>78</v>
      </c>
      <c r="DP42" s="52" t="s">
        <v>78</v>
      </c>
    </row>
    <row r="43" spans="2:120" ht="15" thickBot="1" x14ac:dyDescent="0.4">
      <c r="B43" s="46"/>
      <c r="C43" s="302"/>
      <c r="D43" s="47"/>
      <c r="E43" s="48"/>
      <c r="F43" s="80"/>
      <c r="G43" s="4"/>
      <c r="H43" s="3"/>
      <c r="I43" s="188"/>
      <c r="J43" s="241"/>
      <c r="K43" s="185"/>
      <c r="L43" s="70"/>
      <c r="M43" s="185"/>
      <c r="N43" s="3"/>
      <c r="O43" s="3"/>
      <c r="P43" s="70"/>
      <c r="Q43" s="325"/>
      <c r="R43" s="3"/>
      <c r="S43" s="3"/>
      <c r="T43" s="3"/>
      <c r="U43" s="3"/>
      <c r="V43" s="70"/>
      <c r="W43" s="3"/>
      <c r="X43" s="70"/>
      <c r="Y43" s="3"/>
      <c r="Z43" s="3"/>
      <c r="AA43" s="3"/>
      <c r="AB43" s="3"/>
      <c r="AC43" s="75"/>
      <c r="AD43" s="152"/>
      <c r="AE43" s="70"/>
      <c r="AF43" s="3"/>
      <c r="AG43" s="70"/>
      <c r="AH43" s="3"/>
      <c r="AI43" s="3"/>
      <c r="AJ43" s="3"/>
      <c r="AK43" s="70"/>
      <c r="AL43" s="3"/>
      <c r="AM43" s="3"/>
      <c r="AN43" s="3"/>
      <c r="AO43" s="3"/>
      <c r="AP43" s="70"/>
      <c r="AQ43" s="70"/>
      <c r="AR43" s="3"/>
      <c r="AS43" s="3"/>
      <c r="AT43" s="3"/>
      <c r="AU43" s="3"/>
      <c r="AV43" s="3"/>
      <c r="AW43" s="3"/>
      <c r="AX43" s="3"/>
      <c r="AY43" s="3"/>
      <c r="AZ43" s="70"/>
      <c r="BA43" s="3"/>
      <c r="BB43" s="3"/>
      <c r="BC43" s="70"/>
      <c r="BD43" s="70"/>
      <c r="BE43" s="3"/>
      <c r="BF43" s="3"/>
      <c r="BG43" s="3"/>
      <c r="BH43" s="3"/>
      <c r="BI43" s="3"/>
      <c r="BJ43" s="3"/>
      <c r="BK43" s="70"/>
      <c r="BL43" s="70"/>
      <c r="BM43" s="3"/>
      <c r="BN43" s="3"/>
      <c r="BO43" s="3"/>
      <c r="BP43" s="3"/>
      <c r="BQ43" s="3"/>
      <c r="BR43" s="3"/>
      <c r="BS43" s="3"/>
      <c r="BT43" s="3"/>
      <c r="BU43" s="3"/>
      <c r="BV43" s="3"/>
      <c r="BW43" s="3"/>
      <c r="BX43" s="3"/>
      <c r="BY43" s="3"/>
      <c r="BZ43" s="3"/>
      <c r="CA43" s="3"/>
      <c r="CB43" s="3"/>
      <c r="CC43" s="3"/>
      <c r="CD43" s="3"/>
      <c r="CE43" s="70"/>
      <c r="CF43" s="3"/>
      <c r="CG43" s="3"/>
      <c r="CH43" s="3"/>
      <c r="CI43" s="3"/>
      <c r="CJ43" s="70"/>
      <c r="CK43" s="3"/>
      <c r="CL43" s="3"/>
      <c r="CM43" s="3"/>
      <c r="CN43" s="3"/>
      <c r="CO43" s="3"/>
      <c r="CP43" s="3"/>
      <c r="CQ43" s="3"/>
      <c r="CR43" s="3"/>
      <c r="CS43" s="70"/>
      <c r="CT43" s="70"/>
      <c r="CU43" s="325"/>
      <c r="CV43" s="70"/>
      <c r="CW43" s="3"/>
      <c r="CX43" s="3"/>
      <c r="CY43" s="70"/>
      <c r="CZ43" s="70"/>
      <c r="DA43" s="3"/>
      <c r="DB43" s="3"/>
      <c r="DC43" s="3"/>
      <c r="DD43" s="3"/>
      <c r="DE43" s="3"/>
      <c r="DF43" s="3"/>
      <c r="DG43" s="3"/>
      <c r="DH43" s="70"/>
      <c r="DI43" s="70"/>
      <c r="DJ43" s="3"/>
      <c r="DK43" s="3"/>
      <c r="DL43" s="3"/>
      <c r="DM43" s="3"/>
      <c r="DN43" s="3"/>
      <c r="DO43" s="3"/>
      <c r="DP43" s="4"/>
    </row>
    <row r="44" spans="2:120" x14ac:dyDescent="0.35">
      <c r="B44" s="29"/>
      <c r="C44" s="29"/>
      <c r="D44" s="31"/>
      <c r="E44" s="29"/>
      <c r="F44" s="24"/>
      <c r="G44" s="8"/>
      <c r="H44" s="8"/>
      <c r="I44" s="8"/>
      <c r="J44" s="8"/>
      <c r="K44" s="8"/>
      <c r="L44" s="8"/>
      <c r="M44" s="8"/>
      <c r="N44" s="8"/>
      <c r="O44" s="8"/>
      <c r="P44" s="8"/>
      <c r="R44" s="8"/>
      <c r="S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V44" s="8"/>
      <c r="CW44" s="8"/>
      <c r="CX44" s="8"/>
      <c r="CY44" s="8"/>
      <c r="CZ44" s="8"/>
      <c r="DA44" s="8"/>
      <c r="DB44" s="8"/>
      <c r="DC44" s="8"/>
      <c r="DD44" s="8"/>
      <c r="DE44" s="8"/>
      <c r="DF44" s="8"/>
      <c r="DG44" s="8"/>
      <c r="DH44" s="8"/>
      <c r="DI44" s="8"/>
      <c r="DL44" s="8"/>
      <c r="DM44" s="8"/>
      <c r="DN44" s="8"/>
      <c r="DO44" s="8"/>
      <c r="DP44" s="8"/>
    </row>
    <row r="45" spans="2:120" x14ac:dyDescent="0.35">
      <c r="B45" s="293" t="s">
        <v>143</v>
      </c>
      <c r="C45" s="293"/>
      <c r="D45" s="31"/>
      <c r="E45" s="29"/>
      <c r="F45" s="24"/>
      <c r="G45" s="8"/>
      <c r="H45" s="8"/>
      <c r="I45" s="8"/>
      <c r="J45" s="8"/>
      <c r="K45" s="8"/>
      <c r="L45" s="8"/>
      <c r="M45" s="8"/>
      <c r="N45" s="8"/>
      <c r="O45" s="8"/>
      <c r="P45" s="8"/>
      <c r="R45" s="8"/>
      <c r="S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V45" s="8"/>
      <c r="CW45" s="8"/>
      <c r="CX45" s="8"/>
      <c r="CY45" s="8"/>
      <c r="CZ45" s="8"/>
      <c r="DA45" s="8"/>
      <c r="DB45" s="8"/>
      <c r="DC45" s="8"/>
      <c r="DD45" s="8"/>
      <c r="DE45" s="8"/>
      <c r="DF45" s="8"/>
      <c r="DG45" s="8"/>
      <c r="DH45" s="8"/>
      <c r="DI45" s="8"/>
      <c r="DL45" s="8"/>
      <c r="DM45" s="8"/>
      <c r="DN45" s="8"/>
      <c r="DO45" s="8"/>
      <c r="DP45" s="8"/>
    </row>
    <row r="46" spans="2:120" x14ac:dyDescent="0.35">
      <c r="B46" s="298" t="s">
        <v>256</v>
      </c>
      <c r="C46" s="284" t="s">
        <v>291</v>
      </c>
      <c r="D46" s="136"/>
      <c r="E46" s="136"/>
      <c r="F46" s="136"/>
      <c r="G46" s="136"/>
      <c r="H46" s="136"/>
      <c r="I46" s="8"/>
      <c r="J46" s="8"/>
      <c r="K46" s="8"/>
      <c r="L46" s="8"/>
      <c r="M46" s="8"/>
      <c r="N46" s="8"/>
      <c r="O46" s="8"/>
      <c r="P46" s="8"/>
      <c r="R46" s="8"/>
      <c r="S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V46" s="8"/>
      <c r="CW46" s="8"/>
      <c r="CX46" s="8"/>
      <c r="CY46" s="8"/>
      <c r="CZ46" s="8"/>
      <c r="DA46" s="8"/>
      <c r="DB46" s="8"/>
      <c r="DC46" s="8"/>
      <c r="DD46" s="8"/>
      <c r="DE46" s="8"/>
      <c r="DF46" s="8"/>
      <c r="DG46" s="8"/>
      <c r="DH46" s="8"/>
      <c r="DI46" s="8"/>
      <c r="DL46" s="8"/>
      <c r="DM46" s="8"/>
      <c r="DN46" s="8"/>
      <c r="DO46" s="8"/>
      <c r="DP46" s="8"/>
    </row>
    <row r="47" spans="2:120" x14ac:dyDescent="0.35">
      <c r="B47" s="298"/>
      <c r="C47" s="307" t="s">
        <v>408</v>
      </c>
      <c r="D47" s="31"/>
      <c r="E47" s="29"/>
      <c r="F47" s="24"/>
      <c r="G47" s="8"/>
      <c r="H47" s="8"/>
      <c r="I47" s="8"/>
      <c r="J47" s="8"/>
      <c r="K47" s="8"/>
      <c r="L47" s="8"/>
      <c r="M47" s="8"/>
      <c r="N47" s="8"/>
      <c r="O47" s="8"/>
      <c r="P47" s="8"/>
      <c r="R47" s="8"/>
      <c r="S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V47" s="8"/>
      <c r="CW47" s="8"/>
      <c r="CX47" s="8"/>
      <c r="CY47" s="8"/>
      <c r="CZ47" s="8"/>
      <c r="DA47" s="8"/>
      <c r="DB47" s="8"/>
      <c r="DC47" s="8"/>
      <c r="DD47" s="8"/>
      <c r="DE47" s="8"/>
      <c r="DF47" s="8"/>
      <c r="DG47" s="8"/>
      <c r="DH47" s="8"/>
      <c r="DI47" s="8"/>
      <c r="DL47" s="8"/>
      <c r="DM47" s="8"/>
      <c r="DN47" s="8"/>
      <c r="DO47" s="8"/>
      <c r="DP47" s="8"/>
    </row>
    <row r="48" spans="2:120" x14ac:dyDescent="0.35">
      <c r="B48" s="298" t="s">
        <v>263</v>
      </c>
      <c r="C48" s="288" t="s">
        <v>442</v>
      </c>
      <c r="D48" s="136"/>
      <c r="E48" s="136"/>
      <c r="F48" s="136"/>
      <c r="G48" s="136"/>
      <c r="H48" s="136"/>
      <c r="I48" s="8"/>
      <c r="J48" s="8"/>
      <c r="K48" s="8"/>
      <c r="L48" s="8"/>
      <c r="M48" s="8"/>
      <c r="N48" s="8"/>
      <c r="O48" s="8"/>
      <c r="P48" s="8"/>
      <c r="R48" s="8"/>
      <c r="S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V48" s="8"/>
      <c r="CW48" s="8"/>
      <c r="CX48" s="8"/>
      <c r="CY48" s="8"/>
      <c r="CZ48" s="8"/>
      <c r="DA48" s="8"/>
      <c r="DB48" s="8"/>
      <c r="DC48" s="8"/>
      <c r="DD48" s="8"/>
      <c r="DE48" s="8"/>
      <c r="DF48" s="8"/>
      <c r="DG48" s="8"/>
      <c r="DH48" s="8"/>
      <c r="DI48" s="8"/>
      <c r="DL48" s="8"/>
      <c r="DM48" s="8"/>
      <c r="DN48" s="8"/>
      <c r="DO48" s="8"/>
      <c r="DP48" s="8"/>
    </row>
    <row r="49" spans="1:160" x14ac:dyDescent="0.35">
      <c r="B49" s="298"/>
      <c r="C49" s="307" t="s">
        <v>443</v>
      </c>
      <c r="D49" s="9"/>
      <c r="E49" s="16"/>
      <c r="F49" s="24"/>
      <c r="G49" s="8"/>
      <c r="H49" s="8"/>
      <c r="I49" s="8"/>
      <c r="J49" s="8"/>
      <c r="K49" s="8"/>
      <c r="L49" s="8"/>
      <c r="M49" s="8"/>
      <c r="N49" s="8"/>
      <c r="O49" s="8"/>
      <c r="P49" s="8"/>
      <c r="R49" s="8"/>
      <c r="S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V49" s="8"/>
      <c r="CW49" s="8"/>
      <c r="CY49" s="8"/>
      <c r="CZ49" s="8"/>
      <c r="DA49" s="8"/>
      <c r="DB49" s="8"/>
      <c r="DC49" s="8"/>
      <c r="DD49" s="8"/>
      <c r="DE49" s="8"/>
      <c r="DF49" s="8"/>
      <c r="DG49" s="8"/>
      <c r="DH49" s="8"/>
      <c r="DI49" s="8"/>
      <c r="DL49" s="8"/>
      <c r="DM49" s="8"/>
      <c r="DN49" s="8"/>
      <c r="DO49" s="8"/>
      <c r="DP49" s="8"/>
    </row>
    <row r="50" spans="1:160" ht="27" customHeight="1" x14ac:dyDescent="0.35">
      <c r="A50" s="35"/>
      <c r="B50" s="298" t="s">
        <v>264</v>
      </c>
      <c r="C50" s="582" t="s">
        <v>416</v>
      </c>
      <c r="D50" s="582"/>
      <c r="E50" s="582"/>
      <c r="F50" s="582"/>
      <c r="G50" s="582"/>
      <c r="H50" s="521"/>
      <c r="I50" s="221"/>
      <c r="J50" s="221"/>
      <c r="K50" s="8"/>
      <c r="L50" s="8"/>
      <c r="M50" s="8"/>
      <c r="N50" s="8"/>
      <c r="O50" s="8"/>
      <c r="P50" s="8"/>
      <c r="R50" s="8"/>
      <c r="S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17"/>
      <c r="CH50" s="17"/>
      <c r="CI50" s="8"/>
      <c r="CJ50" s="8"/>
      <c r="CK50" s="8"/>
      <c r="CL50" s="8"/>
      <c r="CM50" s="8"/>
      <c r="CN50" s="8"/>
      <c r="CO50" s="8"/>
      <c r="CP50" s="8"/>
      <c r="CQ50" s="8"/>
      <c r="CR50" s="8"/>
      <c r="CS50" s="8"/>
      <c r="CT50" s="8"/>
      <c r="CV50" s="8"/>
      <c r="CW50" s="8"/>
      <c r="CX50" s="8"/>
      <c r="CY50" s="8"/>
      <c r="CZ50" s="8"/>
      <c r="DA50" s="8"/>
      <c r="DB50" s="8"/>
      <c r="DC50" s="8"/>
      <c r="DD50" s="8"/>
      <c r="DE50" s="8"/>
      <c r="DF50" s="8"/>
      <c r="DG50" s="8"/>
      <c r="DH50" s="8"/>
      <c r="DI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row>
    <row r="51" spans="1:160" x14ac:dyDescent="0.35">
      <c r="A51" s="35"/>
      <c r="B51" s="300"/>
      <c r="C51" s="313" t="s">
        <v>301</v>
      </c>
      <c r="D51" s="287"/>
      <c r="E51" s="286"/>
      <c r="F51" s="505"/>
      <c r="G51" s="505"/>
      <c r="H51" s="505"/>
      <c r="I51" s="221"/>
      <c r="J51" s="221"/>
      <c r="K51" s="8"/>
      <c r="L51" s="8"/>
      <c r="M51" s="8"/>
      <c r="N51" s="8"/>
      <c r="O51" s="8"/>
      <c r="P51" s="8"/>
      <c r="R51" s="8"/>
      <c r="S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17"/>
      <c r="CH51" s="17"/>
      <c r="CI51" s="8"/>
      <c r="CJ51" s="8"/>
      <c r="CK51" s="8"/>
      <c r="CL51" s="8"/>
      <c r="CM51" s="8"/>
      <c r="CN51" s="8"/>
      <c r="CO51" s="8"/>
      <c r="CP51" s="8"/>
      <c r="CQ51" s="8"/>
      <c r="CR51" s="8"/>
      <c r="CS51" s="8"/>
      <c r="CT51" s="8"/>
      <c r="CV51" s="8"/>
      <c r="CW51" s="8"/>
      <c r="CX51" s="8"/>
      <c r="CY51" s="8"/>
      <c r="CZ51" s="8"/>
      <c r="DA51" s="8"/>
      <c r="DB51" s="8"/>
      <c r="DC51" s="8"/>
      <c r="DD51" s="8"/>
      <c r="DE51" s="8"/>
      <c r="DF51" s="8"/>
      <c r="DG51" s="8"/>
      <c r="DH51" s="8"/>
      <c r="DI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row>
    <row r="52" spans="1:160" x14ac:dyDescent="0.35">
      <c r="A52" s="35"/>
      <c r="B52" s="298" t="s">
        <v>265</v>
      </c>
      <c r="C52" s="288" t="s">
        <v>471</v>
      </c>
      <c r="D52" s="287"/>
      <c r="E52" s="347"/>
      <c r="F52" s="505"/>
      <c r="G52" s="505"/>
      <c r="H52" s="505"/>
      <c r="I52" s="221"/>
      <c r="J52" s="221"/>
      <c r="K52" s="8"/>
      <c r="L52" s="8"/>
      <c r="M52" s="8"/>
      <c r="N52" s="8"/>
      <c r="O52" s="8"/>
      <c r="P52" s="8"/>
      <c r="R52" s="8"/>
      <c r="S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17"/>
      <c r="CH52" s="17"/>
      <c r="CI52" s="8"/>
      <c r="CJ52" s="8"/>
      <c r="CK52" s="8"/>
      <c r="CL52" s="8"/>
      <c r="CM52" s="8"/>
      <c r="CN52" s="8"/>
      <c r="CO52" s="8"/>
      <c r="CP52" s="8"/>
      <c r="CQ52" s="8"/>
      <c r="CR52" s="8"/>
      <c r="CS52" s="8"/>
      <c r="CT52" s="8"/>
      <c r="CV52" s="8"/>
      <c r="CW52" s="8"/>
      <c r="CX52" s="8"/>
      <c r="CY52" s="8"/>
      <c r="CZ52" s="8"/>
      <c r="DA52" s="8"/>
      <c r="DB52" s="8"/>
      <c r="DC52" s="8"/>
      <c r="DD52" s="8"/>
      <c r="DE52" s="8"/>
      <c r="DF52" s="8"/>
      <c r="DG52" s="8"/>
      <c r="DH52" s="8"/>
      <c r="DI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row>
    <row r="53" spans="1:160" x14ac:dyDescent="0.35">
      <c r="A53" s="35"/>
      <c r="B53" s="300"/>
      <c r="C53" s="580" t="s">
        <v>472</v>
      </c>
      <c r="D53" s="580"/>
      <c r="E53" s="580"/>
      <c r="F53" s="580"/>
      <c r="G53" s="580"/>
      <c r="H53" s="505"/>
      <c r="I53" s="221"/>
      <c r="J53" s="221"/>
      <c r="K53" s="8"/>
      <c r="L53" s="8"/>
      <c r="M53" s="8"/>
      <c r="N53" s="8"/>
      <c r="O53" s="8"/>
      <c r="P53" s="8"/>
      <c r="R53" s="8"/>
      <c r="S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17"/>
      <c r="CH53" s="17"/>
      <c r="CI53" s="8"/>
      <c r="CJ53" s="8"/>
      <c r="CK53" s="8"/>
      <c r="CL53" s="8"/>
      <c r="CM53" s="8"/>
      <c r="CN53" s="8"/>
      <c r="CO53" s="8"/>
      <c r="CP53" s="8"/>
      <c r="CQ53" s="8"/>
      <c r="CR53" s="8"/>
      <c r="CS53" s="8"/>
      <c r="CT53" s="8"/>
      <c r="CV53" s="8"/>
      <c r="CW53" s="8"/>
      <c r="CX53" s="8"/>
      <c r="CY53" s="8"/>
      <c r="CZ53" s="8"/>
      <c r="DA53" s="8"/>
      <c r="DB53" s="8"/>
      <c r="DC53" s="8"/>
      <c r="DD53" s="8"/>
      <c r="DE53" s="8"/>
      <c r="DF53" s="8"/>
      <c r="DG53" s="8"/>
      <c r="DH53" s="8"/>
      <c r="DI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row>
    <row r="54" spans="1:160" x14ac:dyDescent="0.35">
      <c r="A54" s="35"/>
      <c r="B54" s="298" t="s">
        <v>266</v>
      </c>
      <c r="C54" s="288" t="s">
        <v>397</v>
      </c>
      <c r="D54" s="287"/>
      <c r="E54" s="286"/>
      <c r="F54" s="505"/>
      <c r="G54" s="505"/>
      <c r="H54" s="505"/>
      <c r="I54" s="221"/>
      <c r="J54" s="221"/>
      <c r="K54" s="8"/>
      <c r="L54" s="8"/>
      <c r="M54" s="8"/>
      <c r="N54" s="8"/>
      <c r="O54" s="8"/>
      <c r="P54" s="8"/>
      <c r="R54" s="8"/>
      <c r="S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17"/>
      <c r="CH54" s="17"/>
      <c r="CI54" s="8"/>
      <c r="CJ54" s="8"/>
      <c r="CK54" s="8"/>
      <c r="CL54" s="8"/>
      <c r="CM54" s="8"/>
      <c r="CN54" s="8"/>
      <c r="CO54" s="8"/>
      <c r="CP54" s="8"/>
      <c r="CQ54" s="8"/>
      <c r="CR54" s="8"/>
      <c r="CS54" s="8"/>
      <c r="CT54" s="8"/>
      <c r="CV54" s="8"/>
      <c r="CW54" s="8"/>
      <c r="CX54" s="8"/>
      <c r="CY54" s="8"/>
      <c r="CZ54" s="8"/>
      <c r="DA54" s="8"/>
      <c r="DB54" s="8"/>
      <c r="DC54" s="8"/>
      <c r="DD54" s="8"/>
      <c r="DE54" s="8"/>
      <c r="DF54" s="8"/>
      <c r="DG54" s="8"/>
      <c r="DH54" s="8"/>
      <c r="DI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row>
    <row r="55" spans="1:160" x14ac:dyDescent="0.35">
      <c r="A55" s="35"/>
      <c r="B55" s="297"/>
      <c r="C55" s="347" t="s">
        <v>398</v>
      </c>
      <c r="D55" s="287"/>
      <c r="E55" s="286"/>
      <c r="F55" s="505"/>
      <c r="G55" s="505"/>
      <c r="H55" s="505"/>
      <c r="I55" s="221"/>
      <c r="J55" s="221"/>
      <c r="K55" s="8"/>
      <c r="L55" s="8"/>
      <c r="M55" s="8"/>
      <c r="N55" s="8"/>
      <c r="O55" s="8"/>
      <c r="P55" s="8"/>
      <c r="R55" s="8"/>
      <c r="S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17"/>
      <c r="CH55" s="17"/>
      <c r="CI55" s="8"/>
      <c r="CJ55" s="8"/>
      <c r="CK55" s="8"/>
      <c r="CL55" s="8"/>
      <c r="CM55" s="8"/>
      <c r="CN55" s="8"/>
      <c r="CO55" s="8"/>
      <c r="CP55" s="8"/>
      <c r="CQ55" s="8"/>
      <c r="CR55" s="8"/>
      <c r="CS55" s="8"/>
      <c r="CT55" s="8"/>
      <c r="CV55" s="8"/>
      <c r="CW55" s="8"/>
      <c r="CX55" s="8"/>
      <c r="CY55" s="8"/>
      <c r="CZ55" s="8"/>
      <c r="DA55" s="8"/>
      <c r="DB55" s="8"/>
      <c r="DC55" s="8"/>
      <c r="DD55" s="8"/>
      <c r="DE55" s="8"/>
      <c r="DF55" s="8"/>
      <c r="DG55" s="8"/>
      <c r="DH55" s="8"/>
      <c r="DI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row>
    <row r="56" spans="1:160" s="428" customFormat="1" x14ac:dyDescent="0.35">
      <c r="A56" s="496"/>
      <c r="B56" s="497" t="s">
        <v>267</v>
      </c>
      <c r="C56" s="498" t="s">
        <v>410</v>
      </c>
      <c r="D56" s="499"/>
      <c r="E56" s="500"/>
      <c r="G56" s="501"/>
      <c r="H56" s="501"/>
      <c r="I56" s="502"/>
      <c r="J56" s="502"/>
      <c r="K56" s="503"/>
      <c r="L56" s="503"/>
      <c r="M56" s="503"/>
      <c r="N56" s="503"/>
      <c r="O56" s="503"/>
      <c r="P56" s="503"/>
      <c r="R56" s="503"/>
      <c r="S56" s="503"/>
      <c r="T56" s="503"/>
      <c r="U56" s="503"/>
      <c r="V56" s="503"/>
      <c r="W56" s="503"/>
      <c r="X56" s="503"/>
      <c r="Y56" s="503"/>
      <c r="Z56" s="503"/>
      <c r="AA56" s="503"/>
      <c r="AB56" s="503"/>
      <c r="AC56" s="503"/>
      <c r="AD56" s="503"/>
      <c r="AE56" s="503"/>
      <c r="AF56" s="503"/>
      <c r="AG56" s="503"/>
      <c r="AH56" s="503"/>
      <c r="AI56" s="503"/>
      <c r="AJ56" s="503"/>
      <c r="AK56" s="503"/>
      <c r="AL56" s="503"/>
      <c r="AM56" s="503"/>
      <c r="AN56" s="503"/>
      <c r="AO56" s="503"/>
      <c r="AP56" s="503"/>
      <c r="AQ56" s="503"/>
      <c r="AR56" s="503"/>
      <c r="AS56" s="503"/>
      <c r="AT56" s="503"/>
      <c r="AU56" s="503"/>
      <c r="AV56" s="503"/>
      <c r="AW56" s="503"/>
      <c r="AX56" s="503"/>
      <c r="AY56" s="503"/>
      <c r="AZ56" s="503"/>
      <c r="BA56" s="503"/>
      <c r="BB56" s="503"/>
      <c r="BC56" s="503"/>
      <c r="BD56" s="503"/>
      <c r="BE56" s="503"/>
      <c r="BF56" s="503"/>
      <c r="BG56" s="503"/>
      <c r="BH56" s="503"/>
      <c r="BI56" s="503"/>
      <c r="BJ56" s="503"/>
      <c r="BK56" s="503"/>
      <c r="BL56" s="503"/>
      <c r="BM56" s="503"/>
      <c r="BN56" s="503"/>
      <c r="BO56" s="503"/>
      <c r="BP56" s="503"/>
      <c r="BQ56" s="503"/>
      <c r="BR56" s="503"/>
      <c r="BS56" s="503"/>
      <c r="BT56" s="503"/>
      <c r="BU56" s="503"/>
      <c r="BV56" s="503"/>
      <c r="BW56" s="503"/>
      <c r="BX56" s="503"/>
      <c r="BY56" s="503"/>
      <c r="BZ56" s="503"/>
      <c r="CA56" s="503"/>
      <c r="CB56" s="503"/>
      <c r="CC56" s="503"/>
      <c r="CD56" s="503"/>
      <c r="CE56" s="503"/>
      <c r="CF56" s="503"/>
      <c r="CG56" s="338"/>
      <c r="CH56" s="338"/>
      <c r="CI56" s="503"/>
      <c r="CJ56" s="503"/>
      <c r="CK56" s="503"/>
      <c r="CL56" s="503"/>
      <c r="CM56" s="503"/>
      <c r="CN56" s="503"/>
      <c r="CO56" s="503"/>
      <c r="CP56" s="503"/>
      <c r="CQ56" s="503"/>
      <c r="CR56" s="503"/>
      <c r="CS56" s="503"/>
      <c r="CT56" s="503"/>
      <c r="CV56" s="503"/>
      <c r="CW56" s="503"/>
      <c r="CX56" s="503"/>
      <c r="CY56" s="503"/>
      <c r="CZ56" s="503"/>
      <c r="DA56" s="503"/>
      <c r="DB56" s="503"/>
      <c r="DC56" s="503"/>
      <c r="DD56" s="503"/>
      <c r="DE56" s="503"/>
      <c r="DF56" s="503"/>
      <c r="DG56" s="503"/>
      <c r="DH56" s="503"/>
      <c r="DI56" s="503"/>
      <c r="DJ56" s="503"/>
      <c r="DK56" s="503"/>
      <c r="DL56" s="503"/>
      <c r="DM56" s="503"/>
      <c r="DN56" s="503"/>
      <c r="DO56" s="503"/>
      <c r="DP56" s="503"/>
      <c r="DQ56" s="503"/>
      <c r="DR56" s="504"/>
      <c r="DS56" s="503"/>
      <c r="DT56" s="503"/>
      <c r="DU56" s="503"/>
      <c r="DV56" s="503"/>
      <c r="DW56" s="503"/>
      <c r="DX56" s="503"/>
      <c r="DY56" s="503"/>
      <c r="DZ56" s="503"/>
      <c r="EA56" s="503"/>
      <c r="EB56" s="503"/>
      <c r="EC56" s="503"/>
      <c r="ED56" s="503"/>
      <c r="EE56" s="503"/>
      <c r="EF56" s="503"/>
      <c r="EG56" s="503"/>
      <c r="EH56" s="503"/>
      <c r="EI56" s="503"/>
      <c r="EJ56" s="503"/>
      <c r="EK56" s="503"/>
      <c r="EL56" s="503"/>
      <c r="EM56" s="503"/>
      <c r="EN56" s="503"/>
      <c r="EO56" s="503"/>
      <c r="EP56" s="503"/>
      <c r="EQ56" s="503"/>
      <c r="ER56" s="503"/>
      <c r="ES56" s="503"/>
      <c r="ET56" s="503"/>
      <c r="EU56" s="503"/>
      <c r="EV56" s="503"/>
      <c r="EW56" s="503"/>
      <c r="EX56" s="503"/>
      <c r="EY56" s="503"/>
      <c r="EZ56" s="503"/>
      <c r="FA56" s="503"/>
      <c r="FB56" s="503"/>
      <c r="FC56" s="503"/>
      <c r="FD56" s="503"/>
    </row>
    <row r="57" spans="1:160" s="482" customFormat="1" x14ac:dyDescent="0.35">
      <c r="A57" s="490"/>
      <c r="B57" s="495"/>
      <c r="C57" s="313" t="s">
        <v>409</v>
      </c>
      <c r="D57" s="491"/>
      <c r="E57" s="492"/>
      <c r="F57" s="493"/>
      <c r="G57" s="493"/>
      <c r="H57" s="493"/>
      <c r="I57" s="494"/>
      <c r="J57" s="494"/>
      <c r="K57" s="488"/>
      <c r="L57" s="488"/>
      <c r="M57" s="488"/>
      <c r="N57" s="488"/>
      <c r="O57" s="488"/>
      <c r="P57" s="488"/>
      <c r="R57" s="488"/>
      <c r="S57" s="488"/>
      <c r="T57" s="488"/>
      <c r="U57" s="488"/>
      <c r="V57" s="488"/>
      <c r="W57" s="488"/>
      <c r="X57" s="488"/>
      <c r="Y57" s="488"/>
      <c r="Z57" s="488"/>
      <c r="AA57" s="488"/>
      <c r="AB57" s="488"/>
      <c r="AC57" s="488"/>
      <c r="AD57" s="488"/>
      <c r="AE57" s="488"/>
      <c r="AF57" s="488"/>
      <c r="AG57" s="488"/>
      <c r="AH57" s="488"/>
      <c r="AI57" s="488"/>
      <c r="AJ57" s="488"/>
      <c r="AK57" s="488"/>
      <c r="AL57" s="488"/>
      <c r="AM57" s="488"/>
      <c r="AN57" s="488"/>
      <c r="AO57" s="488"/>
      <c r="AP57" s="488"/>
      <c r="AQ57" s="488"/>
      <c r="AR57" s="488"/>
      <c r="AS57" s="488"/>
      <c r="AT57" s="488"/>
      <c r="AU57" s="488"/>
      <c r="AV57" s="488"/>
      <c r="AW57" s="488"/>
      <c r="AX57" s="488"/>
      <c r="AY57" s="488"/>
      <c r="AZ57" s="488"/>
      <c r="BA57" s="488"/>
      <c r="BB57" s="488"/>
      <c r="BC57" s="488"/>
      <c r="BD57" s="488"/>
      <c r="BE57" s="488"/>
      <c r="BF57" s="488"/>
      <c r="BG57" s="488"/>
      <c r="BH57" s="488"/>
      <c r="BI57" s="488"/>
      <c r="BJ57" s="488"/>
      <c r="BK57" s="488"/>
      <c r="BL57" s="488"/>
      <c r="BM57" s="488"/>
      <c r="BN57" s="488"/>
      <c r="BO57" s="488"/>
      <c r="BP57" s="488"/>
      <c r="BQ57" s="488"/>
      <c r="BR57" s="488"/>
      <c r="BS57" s="488"/>
      <c r="BT57" s="488"/>
      <c r="BU57" s="488"/>
      <c r="BV57" s="488"/>
      <c r="BW57" s="488"/>
      <c r="BX57" s="488"/>
      <c r="BY57" s="488"/>
      <c r="BZ57" s="488"/>
      <c r="CA57" s="488"/>
      <c r="CB57" s="488"/>
      <c r="CC57" s="488"/>
      <c r="CD57" s="488"/>
      <c r="CE57" s="488"/>
      <c r="CF57" s="488"/>
      <c r="CG57" s="483"/>
      <c r="CH57" s="483"/>
      <c r="CI57" s="488"/>
      <c r="CJ57" s="488"/>
      <c r="CK57" s="488"/>
      <c r="CL57" s="488"/>
      <c r="CM57" s="488"/>
      <c r="CN57" s="488"/>
      <c r="CO57" s="488"/>
      <c r="CP57" s="488"/>
      <c r="CQ57" s="488"/>
      <c r="CR57" s="488"/>
      <c r="CS57" s="488"/>
      <c r="CT57" s="488"/>
      <c r="CV57" s="488"/>
      <c r="CW57" s="488"/>
      <c r="CX57" s="488"/>
      <c r="CY57" s="488"/>
      <c r="CZ57" s="488"/>
      <c r="DA57" s="488"/>
      <c r="DB57" s="488"/>
      <c r="DC57" s="488"/>
      <c r="DD57" s="488"/>
      <c r="DE57" s="488"/>
      <c r="DF57" s="488"/>
      <c r="DG57" s="488"/>
      <c r="DH57" s="488"/>
      <c r="DI57" s="488"/>
      <c r="DJ57" s="488"/>
      <c r="DK57" s="488"/>
      <c r="DL57" s="488"/>
      <c r="DM57" s="488"/>
      <c r="DN57" s="488"/>
      <c r="DO57" s="488"/>
      <c r="DP57" s="488"/>
      <c r="DQ57" s="488"/>
      <c r="DR57" s="489"/>
      <c r="DS57" s="488"/>
      <c r="DT57" s="488"/>
      <c r="DU57" s="488"/>
      <c r="DV57" s="488"/>
      <c r="DW57" s="488"/>
      <c r="DX57" s="488"/>
      <c r="DY57" s="488"/>
      <c r="DZ57" s="488"/>
      <c r="EA57" s="488"/>
      <c r="EB57" s="488"/>
      <c r="EC57" s="488"/>
      <c r="ED57" s="488"/>
      <c r="EE57" s="488"/>
      <c r="EF57" s="488"/>
      <c r="EG57" s="488"/>
      <c r="EH57" s="488"/>
      <c r="EI57" s="488"/>
      <c r="EJ57" s="488"/>
      <c r="EK57" s="488"/>
      <c r="EL57" s="488"/>
      <c r="EM57" s="488"/>
      <c r="EN57" s="488"/>
      <c r="EO57" s="488"/>
      <c r="EP57" s="488"/>
      <c r="EQ57" s="488"/>
      <c r="ER57" s="488"/>
      <c r="ES57" s="488"/>
      <c r="ET57" s="488"/>
      <c r="EU57" s="488"/>
      <c r="EV57" s="488"/>
      <c r="EW57" s="488"/>
      <c r="EX57" s="488"/>
      <c r="EY57" s="488"/>
      <c r="EZ57" s="488"/>
      <c r="FA57" s="488"/>
      <c r="FB57" s="488"/>
      <c r="FC57" s="488"/>
      <c r="FD57" s="488"/>
    </row>
    <row r="58" spans="1:160" s="428" customFormat="1" x14ac:dyDescent="0.35">
      <c r="A58" s="496"/>
      <c r="B58" s="298" t="s">
        <v>268</v>
      </c>
      <c r="C58" s="498" t="s">
        <v>469</v>
      </c>
      <c r="D58" s="499"/>
      <c r="E58" s="500"/>
      <c r="G58" s="501"/>
      <c r="H58" s="501"/>
      <c r="I58" s="502"/>
      <c r="J58" s="502"/>
      <c r="K58" s="503"/>
      <c r="L58" s="503"/>
      <c r="M58" s="503"/>
      <c r="N58" s="503"/>
      <c r="O58" s="503"/>
      <c r="P58" s="503"/>
      <c r="R58" s="503"/>
      <c r="S58" s="503"/>
      <c r="T58" s="503"/>
      <c r="U58" s="503"/>
      <c r="V58" s="503"/>
      <c r="W58" s="503"/>
      <c r="X58" s="503"/>
      <c r="Y58" s="503"/>
      <c r="Z58" s="503"/>
      <c r="AA58" s="503"/>
      <c r="AB58" s="503"/>
      <c r="AC58" s="503"/>
      <c r="AD58" s="503"/>
      <c r="AE58" s="503"/>
      <c r="AF58" s="503"/>
      <c r="AG58" s="503"/>
      <c r="AH58" s="503"/>
      <c r="AI58" s="503"/>
      <c r="AJ58" s="503"/>
      <c r="AK58" s="503"/>
      <c r="AL58" s="503"/>
      <c r="AM58" s="503"/>
      <c r="AN58" s="503"/>
      <c r="AO58" s="503"/>
      <c r="AP58" s="503"/>
      <c r="AQ58" s="503"/>
      <c r="AR58" s="503"/>
      <c r="AS58" s="503"/>
      <c r="AT58" s="503"/>
      <c r="AU58" s="503"/>
      <c r="AV58" s="503"/>
      <c r="AW58" s="503"/>
      <c r="AX58" s="503"/>
      <c r="AY58" s="503"/>
      <c r="AZ58" s="503"/>
      <c r="BA58" s="503"/>
      <c r="BB58" s="503"/>
      <c r="BC58" s="503"/>
      <c r="BD58" s="503"/>
      <c r="BE58" s="503"/>
      <c r="BF58" s="503"/>
      <c r="BG58" s="503"/>
      <c r="BH58" s="503"/>
      <c r="BI58" s="503"/>
      <c r="BJ58" s="503"/>
      <c r="BK58" s="503"/>
      <c r="BL58" s="503"/>
      <c r="BM58" s="503"/>
      <c r="BN58" s="503"/>
      <c r="BO58" s="503"/>
      <c r="BP58" s="503"/>
      <c r="BQ58" s="503"/>
      <c r="BR58" s="503"/>
      <c r="BS58" s="503"/>
      <c r="BT58" s="503"/>
      <c r="BU58" s="503"/>
      <c r="BV58" s="503"/>
      <c r="BW58" s="503"/>
      <c r="BX58" s="503"/>
      <c r="BY58" s="503"/>
      <c r="BZ58" s="503"/>
      <c r="CA58" s="503"/>
      <c r="CB58" s="503"/>
      <c r="CC58" s="503"/>
      <c r="CD58" s="503"/>
      <c r="CE58" s="503"/>
      <c r="CF58" s="503"/>
      <c r="CG58" s="338"/>
      <c r="CH58" s="338"/>
      <c r="CI58" s="503"/>
      <c r="CJ58" s="503"/>
      <c r="CK58" s="503"/>
      <c r="CL58" s="503"/>
      <c r="CM58" s="503"/>
      <c r="CN58" s="503"/>
      <c r="CO58" s="503"/>
      <c r="CP58" s="503"/>
      <c r="CQ58" s="503"/>
      <c r="CR58" s="503"/>
      <c r="CS58" s="503"/>
      <c r="CT58" s="503"/>
      <c r="CV58" s="503"/>
      <c r="CW58" s="503"/>
      <c r="CX58" s="503"/>
      <c r="CY58" s="503"/>
      <c r="CZ58" s="503"/>
      <c r="DA58" s="503"/>
      <c r="DB58" s="503"/>
      <c r="DC58" s="503"/>
      <c r="DD58" s="503"/>
      <c r="DE58" s="503"/>
      <c r="DF58" s="503"/>
      <c r="DG58" s="503"/>
      <c r="DH58" s="503"/>
      <c r="DI58" s="503"/>
      <c r="DJ58" s="503"/>
      <c r="DK58" s="503"/>
      <c r="DL58" s="503"/>
      <c r="DM58" s="503"/>
      <c r="DN58" s="503"/>
      <c r="DO58" s="503"/>
      <c r="DP58" s="503"/>
      <c r="DQ58" s="503"/>
      <c r="DR58" s="504"/>
      <c r="DS58" s="503"/>
      <c r="DT58" s="503"/>
      <c r="DU58" s="503"/>
      <c r="DV58" s="503"/>
      <c r="DW58" s="503"/>
      <c r="DX58" s="503"/>
      <c r="DY58" s="503"/>
      <c r="DZ58" s="503"/>
      <c r="EA58" s="503"/>
      <c r="EB58" s="503"/>
      <c r="EC58" s="503"/>
      <c r="ED58" s="503"/>
      <c r="EE58" s="503"/>
      <c r="EF58" s="503"/>
      <c r="EG58" s="503"/>
      <c r="EH58" s="503"/>
      <c r="EI58" s="503"/>
      <c r="EJ58" s="503"/>
      <c r="EK58" s="503"/>
      <c r="EL58" s="503"/>
      <c r="EM58" s="503"/>
      <c r="EN58" s="503"/>
      <c r="EO58" s="503"/>
      <c r="EP58" s="503"/>
      <c r="EQ58" s="503"/>
      <c r="ER58" s="503"/>
      <c r="ES58" s="503"/>
      <c r="ET58" s="503"/>
      <c r="EU58" s="503"/>
      <c r="EV58" s="503"/>
      <c r="EW58" s="503"/>
      <c r="EX58" s="503"/>
      <c r="EY58" s="503"/>
      <c r="EZ58" s="503"/>
      <c r="FA58" s="503"/>
      <c r="FB58" s="503"/>
      <c r="FC58" s="503"/>
      <c r="FD58" s="503"/>
    </row>
    <row r="59" spans="1:160" s="482" customFormat="1" x14ac:dyDescent="0.35">
      <c r="A59" s="490"/>
      <c r="B59" s="298"/>
      <c r="C59" s="313" t="s">
        <v>411</v>
      </c>
      <c r="D59" s="491"/>
      <c r="E59" s="492"/>
      <c r="F59" s="493"/>
      <c r="G59" s="493"/>
      <c r="H59" s="493"/>
      <c r="I59" s="494"/>
      <c r="J59" s="494"/>
      <c r="K59" s="488"/>
      <c r="L59" s="488"/>
      <c r="M59" s="488"/>
      <c r="N59" s="488"/>
      <c r="O59" s="488"/>
      <c r="P59" s="488"/>
      <c r="R59" s="488"/>
      <c r="S59" s="488"/>
      <c r="T59" s="488"/>
      <c r="U59" s="488"/>
      <c r="V59" s="488"/>
      <c r="W59" s="488"/>
      <c r="X59" s="488"/>
      <c r="Y59" s="488"/>
      <c r="Z59" s="488"/>
      <c r="AA59" s="488"/>
      <c r="AB59" s="488"/>
      <c r="AC59" s="488"/>
      <c r="AD59" s="488"/>
      <c r="AE59" s="488"/>
      <c r="AF59" s="488"/>
      <c r="AG59" s="488"/>
      <c r="AH59" s="488"/>
      <c r="AI59" s="488"/>
      <c r="AJ59" s="488"/>
      <c r="AK59" s="488"/>
      <c r="AL59" s="488"/>
      <c r="AM59" s="488"/>
      <c r="AN59" s="488"/>
      <c r="AO59" s="488"/>
      <c r="AP59" s="488"/>
      <c r="AQ59" s="488"/>
      <c r="AR59" s="488"/>
      <c r="AS59" s="488"/>
      <c r="AT59" s="488"/>
      <c r="AU59" s="488"/>
      <c r="AV59" s="488"/>
      <c r="AW59" s="488"/>
      <c r="AX59" s="488"/>
      <c r="AY59" s="488"/>
      <c r="AZ59" s="488"/>
      <c r="BA59" s="488"/>
      <c r="BB59" s="488"/>
      <c r="BC59" s="488"/>
      <c r="BD59" s="488"/>
      <c r="BE59" s="488"/>
      <c r="BF59" s="488"/>
      <c r="BG59" s="488"/>
      <c r="BH59" s="488"/>
      <c r="BI59" s="488"/>
      <c r="BJ59" s="488"/>
      <c r="BK59" s="488"/>
      <c r="BL59" s="488"/>
      <c r="BM59" s="488"/>
      <c r="BN59" s="488"/>
      <c r="BO59" s="488"/>
      <c r="BP59" s="488"/>
      <c r="BQ59" s="488"/>
      <c r="BR59" s="488"/>
      <c r="BS59" s="488"/>
      <c r="BT59" s="488"/>
      <c r="BU59" s="488"/>
      <c r="BV59" s="488"/>
      <c r="BW59" s="488"/>
      <c r="BX59" s="488"/>
      <c r="BY59" s="488"/>
      <c r="BZ59" s="488"/>
      <c r="CA59" s="488"/>
      <c r="CB59" s="488"/>
      <c r="CC59" s="488"/>
      <c r="CD59" s="488"/>
      <c r="CE59" s="488"/>
      <c r="CF59" s="488"/>
      <c r="CG59" s="483"/>
      <c r="CH59" s="483"/>
      <c r="CI59" s="488"/>
      <c r="CJ59" s="488"/>
      <c r="CK59" s="488"/>
      <c r="CL59" s="488"/>
      <c r="CM59" s="488"/>
      <c r="CN59" s="488"/>
      <c r="CO59" s="488"/>
      <c r="CP59" s="488"/>
      <c r="CQ59" s="488"/>
      <c r="CR59" s="488"/>
      <c r="CS59" s="488"/>
      <c r="CT59" s="488"/>
      <c r="CV59" s="488"/>
      <c r="CW59" s="488"/>
      <c r="CX59" s="488"/>
      <c r="CY59" s="488"/>
      <c r="CZ59" s="488"/>
      <c r="DA59" s="488"/>
      <c r="DB59" s="488"/>
      <c r="DC59" s="488"/>
      <c r="DD59" s="488"/>
      <c r="DE59" s="488"/>
      <c r="DF59" s="488"/>
      <c r="DG59" s="488"/>
      <c r="DH59" s="488"/>
      <c r="DI59" s="488"/>
      <c r="DJ59" s="488"/>
      <c r="DK59" s="488"/>
      <c r="DL59" s="488"/>
      <c r="DM59" s="488"/>
      <c r="DN59" s="488"/>
      <c r="DO59" s="488"/>
      <c r="DP59" s="488"/>
      <c r="DQ59" s="488"/>
      <c r="DR59" s="489"/>
      <c r="DS59" s="488"/>
      <c r="DT59" s="488"/>
      <c r="DU59" s="488"/>
      <c r="DV59" s="488"/>
      <c r="DW59" s="488"/>
      <c r="DX59" s="488"/>
      <c r="DY59" s="488"/>
      <c r="DZ59" s="488"/>
      <c r="EA59" s="488"/>
      <c r="EB59" s="488"/>
      <c r="EC59" s="488"/>
      <c r="ED59" s="488"/>
      <c r="EE59" s="488"/>
      <c r="EF59" s="488"/>
      <c r="EG59" s="488"/>
      <c r="EH59" s="488"/>
      <c r="EI59" s="488"/>
      <c r="EJ59" s="488"/>
      <c r="EK59" s="488"/>
      <c r="EL59" s="488"/>
      <c r="EM59" s="488"/>
      <c r="EN59" s="488"/>
      <c r="EO59" s="488"/>
      <c r="EP59" s="488"/>
      <c r="EQ59" s="488"/>
      <c r="ER59" s="488"/>
      <c r="ES59" s="488"/>
      <c r="ET59" s="488"/>
      <c r="EU59" s="488"/>
      <c r="EV59" s="488"/>
      <c r="EW59" s="488"/>
      <c r="EX59" s="488"/>
      <c r="EY59" s="488"/>
      <c r="EZ59" s="488"/>
      <c r="FA59" s="488"/>
      <c r="FB59" s="488"/>
      <c r="FC59" s="488"/>
      <c r="FD59" s="488"/>
    </row>
    <row r="60" spans="1:160" x14ac:dyDescent="0.35">
      <c r="B60" s="298" t="s">
        <v>269</v>
      </c>
      <c r="C60" s="288" t="s">
        <v>292</v>
      </c>
      <c r="D60" s="9"/>
      <c r="E60" s="16"/>
      <c r="F60" s="24"/>
      <c r="G60" s="8"/>
      <c r="H60" s="8"/>
      <c r="I60" s="8"/>
      <c r="J60" s="8"/>
      <c r="K60" s="8"/>
      <c r="L60" s="8"/>
      <c r="M60" s="8"/>
      <c r="N60" s="8"/>
      <c r="O60" s="8"/>
      <c r="P60" s="8"/>
      <c r="R60" s="8"/>
      <c r="S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V60" s="8"/>
      <c r="CW60" s="8"/>
      <c r="CX60" s="8"/>
      <c r="CY60" s="8"/>
      <c r="CZ60" s="8"/>
      <c r="DA60" s="8"/>
      <c r="DB60" s="8"/>
      <c r="DC60" s="8"/>
      <c r="DD60" s="8"/>
      <c r="DE60" s="8"/>
      <c r="DF60" s="8"/>
      <c r="DG60" s="8"/>
      <c r="DH60" s="8"/>
      <c r="DI60" s="8"/>
      <c r="DL60" s="8"/>
      <c r="DM60" s="8"/>
      <c r="DN60" s="8"/>
      <c r="DO60" s="8"/>
      <c r="DP60" s="8"/>
    </row>
    <row r="61" spans="1:160" x14ac:dyDescent="0.35">
      <c r="B61" s="298"/>
      <c r="C61" s="307" t="s">
        <v>233</v>
      </c>
      <c r="D61" s="9"/>
      <c r="E61" s="16"/>
      <c r="F61" s="24"/>
      <c r="G61" s="8"/>
      <c r="H61" s="8"/>
      <c r="I61" s="8"/>
      <c r="J61" s="8"/>
      <c r="K61" s="8"/>
      <c r="L61" s="8"/>
      <c r="M61" s="8"/>
      <c r="N61" s="8"/>
      <c r="O61" s="8"/>
      <c r="P61" s="8"/>
      <c r="R61" s="8"/>
      <c r="S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V61" s="8"/>
      <c r="CW61" s="8"/>
      <c r="CX61" s="8"/>
      <c r="CY61" s="8"/>
      <c r="CZ61" s="8"/>
      <c r="DA61" s="8"/>
      <c r="DB61" s="8"/>
      <c r="DC61" s="8"/>
      <c r="DD61" s="8"/>
      <c r="DE61" s="8"/>
      <c r="DF61" s="8"/>
      <c r="DG61" s="8"/>
      <c r="DH61" s="8"/>
      <c r="DI61" s="8"/>
      <c r="DL61" s="8"/>
      <c r="DM61" s="8"/>
      <c r="DN61" s="8"/>
      <c r="DO61" s="8"/>
      <c r="DP61" s="8"/>
    </row>
    <row r="62" spans="1:160" x14ac:dyDescent="0.35">
      <c r="B62" s="298" t="s">
        <v>270</v>
      </c>
      <c r="C62" s="288" t="s">
        <v>293</v>
      </c>
      <c r="D62" s="9"/>
      <c r="E62" s="16"/>
      <c r="F62" s="24"/>
      <c r="G62" s="8"/>
      <c r="H62" s="8"/>
      <c r="I62" s="8"/>
      <c r="J62" s="8"/>
      <c r="K62" s="8"/>
      <c r="L62" s="8"/>
      <c r="M62" s="8"/>
      <c r="N62" s="8"/>
      <c r="O62" s="8"/>
      <c r="P62" s="8"/>
      <c r="R62" s="8"/>
      <c r="S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V62" s="8"/>
      <c r="CW62" s="8"/>
      <c r="CX62" s="8"/>
      <c r="CY62" s="8"/>
      <c r="CZ62" s="8"/>
      <c r="DA62" s="8"/>
      <c r="DB62" s="8"/>
      <c r="DC62" s="8"/>
      <c r="DD62" s="8"/>
      <c r="DE62" s="8"/>
      <c r="DF62" s="8"/>
      <c r="DG62" s="8"/>
      <c r="DH62" s="8"/>
      <c r="DI62" s="8"/>
      <c r="DL62" s="8"/>
      <c r="DM62" s="8"/>
      <c r="DN62" s="8"/>
      <c r="DO62" s="8"/>
      <c r="DP62" s="8"/>
    </row>
    <row r="63" spans="1:160" x14ac:dyDescent="0.35">
      <c r="B63" s="298"/>
      <c r="C63" s="307" t="s">
        <v>233</v>
      </c>
      <c r="D63" s="9"/>
      <c r="E63" s="16"/>
      <c r="F63" s="24"/>
      <c r="G63" s="8"/>
      <c r="H63" s="8"/>
      <c r="I63" s="8"/>
      <c r="J63" s="8"/>
      <c r="K63" s="8"/>
      <c r="L63" s="8"/>
      <c r="M63" s="8"/>
      <c r="N63" s="8"/>
      <c r="O63" s="8"/>
      <c r="P63" s="8"/>
      <c r="R63" s="8"/>
      <c r="S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V63" s="8"/>
      <c r="CW63" s="8"/>
      <c r="CX63" s="8"/>
      <c r="CY63" s="8"/>
      <c r="CZ63" s="8"/>
      <c r="DA63" s="8"/>
      <c r="DB63" s="8"/>
      <c r="DC63" s="8"/>
      <c r="DD63" s="8"/>
      <c r="DE63" s="8"/>
      <c r="DF63" s="8"/>
      <c r="DG63" s="8"/>
      <c r="DH63" s="8"/>
      <c r="DI63" s="8"/>
      <c r="DL63" s="8"/>
      <c r="DM63" s="8"/>
      <c r="DN63" s="8"/>
      <c r="DO63" s="8"/>
      <c r="DP63" s="8"/>
    </row>
    <row r="64" spans="1:160" x14ac:dyDescent="0.35">
      <c r="B64" s="298" t="s">
        <v>271</v>
      </c>
      <c r="C64" s="288" t="s">
        <v>294</v>
      </c>
      <c r="D64" s="9"/>
      <c r="E64" s="16"/>
      <c r="F64" s="24"/>
      <c r="G64" s="8"/>
      <c r="H64" s="8"/>
      <c r="I64" s="8"/>
      <c r="J64" s="8"/>
      <c r="K64" s="8"/>
      <c r="L64" s="8"/>
      <c r="M64" s="8"/>
      <c r="N64" s="8"/>
      <c r="O64" s="8"/>
      <c r="P64" s="8"/>
      <c r="R64" s="8"/>
      <c r="S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V64" s="8"/>
      <c r="CW64" s="8"/>
      <c r="CX64" s="8"/>
      <c r="CY64" s="8"/>
      <c r="CZ64" s="8"/>
      <c r="DA64" s="8"/>
      <c r="DB64" s="8"/>
      <c r="DC64" s="8"/>
      <c r="DD64" s="8"/>
      <c r="DE64" s="8"/>
      <c r="DF64" s="8"/>
      <c r="DG64" s="8"/>
      <c r="DH64" s="8"/>
      <c r="DI64" s="8"/>
      <c r="DL64" s="8"/>
      <c r="DM64" s="8"/>
      <c r="DN64" s="8"/>
      <c r="DO64" s="8"/>
      <c r="DP64" s="8"/>
    </row>
    <row r="65" spans="1:158" x14ac:dyDescent="0.35">
      <c r="B65" s="298"/>
      <c r="C65" s="307" t="s">
        <v>233</v>
      </c>
      <c r="D65" s="9"/>
      <c r="E65" s="16"/>
      <c r="F65" s="24"/>
      <c r="G65" s="8"/>
      <c r="H65" s="8"/>
      <c r="I65" s="8"/>
      <c r="J65" s="8"/>
      <c r="K65" s="8"/>
      <c r="L65" s="8"/>
      <c r="M65" s="8"/>
      <c r="N65" s="8"/>
      <c r="O65" s="8"/>
      <c r="P65" s="8"/>
      <c r="R65" s="8"/>
      <c r="S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V65" s="8"/>
      <c r="CW65" s="8"/>
      <c r="CX65" s="8"/>
      <c r="CY65" s="8"/>
      <c r="CZ65" s="8"/>
      <c r="DA65" s="8"/>
      <c r="DB65" s="8"/>
      <c r="DC65" s="8"/>
      <c r="DD65" s="8"/>
      <c r="DE65" s="8"/>
      <c r="DF65" s="8"/>
      <c r="DG65" s="8"/>
      <c r="DH65" s="8"/>
      <c r="DI65" s="8"/>
      <c r="DL65" s="8"/>
      <c r="DM65" s="8"/>
      <c r="DN65" s="8"/>
      <c r="DO65" s="8"/>
      <c r="DP65" s="8"/>
    </row>
    <row r="66" spans="1:158" x14ac:dyDescent="0.35">
      <c r="B66" s="298" t="s">
        <v>381</v>
      </c>
      <c r="C66" s="288" t="s">
        <v>295</v>
      </c>
      <c r="D66" s="9"/>
      <c r="E66" s="16"/>
      <c r="F66" s="24"/>
      <c r="G66" s="8"/>
      <c r="H66" s="8"/>
      <c r="I66" s="8"/>
      <c r="J66" s="8"/>
      <c r="K66" s="8"/>
      <c r="L66" s="8"/>
      <c r="M66" s="8"/>
      <c r="N66" s="8"/>
      <c r="O66" s="8"/>
      <c r="P66" s="8"/>
      <c r="R66" s="8"/>
      <c r="S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V66" s="8"/>
      <c r="CW66" s="8"/>
      <c r="CX66" s="8"/>
      <c r="CY66" s="8"/>
      <c r="CZ66" s="8"/>
      <c r="DA66" s="8"/>
      <c r="DB66" s="8"/>
      <c r="DC66" s="8"/>
      <c r="DD66" s="8"/>
      <c r="DE66" s="8"/>
      <c r="DF66" s="8"/>
      <c r="DG66" s="8"/>
      <c r="DH66" s="8"/>
      <c r="DI66" s="8"/>
      <c r="DL66" s="8"/>
      <c r="DM66" s="8"/>
      <c r="DN66" s="8"/>
      <c r="DO66" s="8"/>
      <c r="DP66" s="8"/>
    </row>
    <row r="67" spans="1:158" x14ac:dyDescent="0.35">
      <c r="B67" s="298"/>
      <c r="C67" s="307" t="s">
        <v>233</v>
      </c>
      <c r="D67" s="9"/>
      <c r="E67" s="16"/>
      <c r="F67" s="24"/>
      <c r="G67" s="8"/>
      <c r="H67" s="8"/>
      <c r="I67" s="8"/>
      <c r="J67" s="8"/>
      <c r="K67" s="8"/>
      <c r="L67" s="8"/>
      <c r="M67" s="8"/>
      <c r="N67" s="8"/>
      <c r="O67" s="8"/>
      <c r="P67" s="8"/>
      <c r="R67" s="8"/>
      <c r="S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V67" s="8"/>
      <c r="CW67" s="8"/>
      <c r="CX67" s="8"/>
      <c r="CY67" s="8"/>
      <c r="CZ67" s="8"/>
      <c r="DA67" s="8"/>
      <c r="DB67" s="8"/>
      <c r="DC67" s="8"/>
      <c r="DD67" s="8"/>
      <c r="DE67" s="8"/>
      <c r="DF67" s="8"/>
      <c r="DG67" s="8"/>
      <c r="DH67" s="8"/>
      <c r="DI67" s="8"/>
      <c r="DL67" s="8"/>
      <c r="DM67" s="8"/>
      <c r="DN67" s="8"/>
      <c r="DO67" s="8"/>
      <c r="DP67" s="8"/>
    </row>
    <row r="68" spans="1:158" x14ac:dyDescent="0.35">
      <c r="B68" s="298" t="s">
        <v>273</v>
      </c>
      <c r="C68" s="288" t="s">
        <v>312</v>
      </c>
      <c r="D68" s="9"/>
      <c r="E68" s="16"/>
      <c r="F68" s="24"/>
      <c r="G68" s="8"/>
      <c r="H68" s="8"/>
      <c r="I68" s="8"/>
      <c r="J68" s="8"/>
      <c r="K68" s="8"/>
      <c r="L68" s="8"/>
      <c r="M68" s="8"/>
      <c r="N68" s="8"/>
      <c r="O68" s="8"/>
      <c r="P68" s="8"/>
      <c r="R68" s="8"/>
      <c r="S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V68" s="8"/>
      <c r="CW68" s="8"/>
      <c r="CX68" s="8"/>
      <c r="CY68" s="8"/>
      <c r="CZ68" s="8"/>
      <c r="DA68" s="8"/>
      <c r="DB68" s="8"/>
      <c r="DC68" s="8"/>
      <c r="DD68" s="8"/>
      <c r="DE68" s="8"/>
      <c r="DF68" s="8"/>
      <c r="DG68" s="8"/>
      <c r="DH68" s="8"/>
      <c r="DI68" s="8"/>
      <c r="DL68" s="8"/>
      <c r="DM68" s="8"/>
      <c r="DN68" s="8"/>
      <c r="DO68" s="8"/>
      <c r="DP68" s="8"/>
    </row>
    <row r="69" spans="1:158" x14ac:dyDescent="0.35">
      <c r="B69" s="298"/>
      <c r="C69" s="307" t="s">
        <v>233</v>
      </c>
      <c r="D69" s="9"/>
      <c r="E69" s="16"/>
      <c r="F69" s="24"/>
      <c r="G69" s="8"/>
      <c r="H69" s="8"/>
      <c r="I69" s="8"/>
      <c r="J69" s="8"/>
      <c r="K69" s="8"/>
      <c r="L69" s="8"/>
      <c r="M69" s="8"/>
      <c r="N69" s="8"/>
      <c r="O69" s="8"/>
      <c r="P69" s="8"/>
      <c r="R69" s="8"/>
      <c r="S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V69" s="8"/>
      <c r="CW69" s="8"/>
      <c r="CX69" s="8"/>
      <c r="CY69" s="8"/>
      <c r="CZ69" s="8"/>
      <c r="DA69" s="8"/>
      <c r="DB69" s="8"/>
      <c r="DC69" s="8"/>
      <c r="DD69" s="8"/>
      <c r="DE69" s="8"/>
      <c r="DF69" s="8"/>
      <c r="DG69" s="8"/>
      <c r="DH69" s="8"/>
      <c r="DI69" s="8"/>
      <c r="DL69" s="8"/>
      <c r="DM69" s="8"/>
      <c r="DN69" s="8"/>
      <c r="DO69" s="8"/>
      <c r="DP69" s="8"/>
    </row>
    <row r="70" spans="1:158" x14ac:dyDescent="0.35">
      <c r="B70" s="298" t="s">
        <v>274</v>
      </c>
      <c r="C70" s="288" t="s">
        <v>313</v>
      </c>
      <c r="D70" s="9"/>
      <c r="E70" s="16"/>
      <c r="F70" s="24"/>
      <c r="G70" s="8"/>
      <c r="H70" s="8"/>
      <c r="I70" s="8"/>
      <c r="J70" s="8"/>
      <c r="K70" s="8"/>
      <c r="L70" s="8"/>
      <c r="M70" s="8"/>
      <c r="N70" s="8"/>
      <c r="O70" s="8"/>
      <c r="P70" s="8"/>
      <c r="R70" s="8"/>
      <c r="S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V70" s="8"/>
      <c r="CW70" s="8"/>
      <c r="CX70" s="8"/>
      <c r="CY70" s="8"/>
      <c r="CZ70" s="8"/>
      <c r="DA70" s="8"/>
      <c r="DB70" s="8"/>
      <c r="DC70" s="8"/>
      <c r="DD70" s="8"/>
      <c r="DE70" s="8"/>
      <c r="DF70" s="8"/>
      <c r="DG70" s="8"/>
      <c r="DH70" s="8"/>
      <c r="DI70" s="8"/>
      <c r="DL70" s="8"/>
      <c r="DM70" s="8"/>
      <c r="DN70" s="8"/>
      <c r="DO70" s="8"/>
      <c r="DP70" s="8"/>
    </row>
    <row r="71" spans="1:158" x14ac:dyDescent="0.35">
      <c r="B71" s="298"/>
      <c r="C71" s="307" t="s">
        <v>233</v>
      </c>
      <c r="D71" s="9"/>
      <c r="E71" s="16"/>
      <c r="F71" s="24"/>
      <c r="G71" s="8"/>
      <c r="H71" s="8"/>
      <c r="I71" s="8"/>
      <c r="J71" s="8"/>
      <c r="K71" s="8"/>
      <c r="L71" s="8"/>
      <c r="M71" s="8"/>
      <c r="N71" s="8"/>
      <c r="O71" s="8"/>
      <c r="P71" s="8"/>
      <c r="R71" s="8"/>
      <c r="S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V71" s="8"/>
      <c r="CW71" s="8"/>
      <c r="CX71" s="8"/>
      <c r="CY71" s="8"/>
      <c r="CZ71" s="8"/>
      <c r="DA71" s="8"/>
      <c r="DB71" s="8"/>
      <c r="DC71" s="8"/>
      <c r="DD71" s="8"/>
      <c r="DE71" s="8"/>
      <c r="DF71" s="8"/>
      <c r="DG71" s="8"/>
      <c r="DH71" s="8"/>
      <c r="DI71" s="8"/>
      <c r="DL71" s="8"/>
      <c r="DM71" s="8"/>
      <c r="DN71" s="8"/>
      <c r="DO71" s="8"/>
      <c r="DP71" s="8"/>
    </row>
    <row r="72" spans="1:158" x14ac:dyDescent="0.35">
      <c r="B72" s="299" t="s">
        <v>311</v>
      </c>
      <c r="C72" s="288" t="s">
        <v>477</v>
      </c>
      <c r="D72" s="9"/>
      <c r="E72" s="16"/>
      <c r="F72" s="24"/>
      <c r="G72" s="8"/>
      <c r="H72" s="8"/>
      <c r="I72" s="8"/>
      <c r="J72" s="8"/>
      <c r="K72" s="8"/>
      <c r="L72" s="8"/>
      <c r="M72" s="8"/>
      <c r="N72" s="8"/>
      <c r="O72" s="8"/>
      <c r="P72" s="8"/>
      <c r="R72" s="8"/>
      <c r="S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V72" s="8"/>
      <c r="CW72" s="8"/>
      <c r="CX72" s="8"/>
      <c r="CY72" s="8"/>
      <c r="CZ72" s="8"/>
      <c r="DA72" s="8"/>
      <c r="DB72" s="8"/>
      <c r="DC72" s="8"/>
      <c r="DD72" s="8"/>
      <c r="DE72" s="8"/>
      <c r="DF72" s="8"/>
      <c r="DG72" s="8"/>
      <c r="DH72" s="8"/>
      <c r="DI72" s="8"/>
      <c r="DL72" s="8"/>
      <c r="DM72" s="8"/>
      <c r="DN72" s="8"/>
      <c r="DO72" s="8"/>
      <c r="DP72" s="8"/>
    </row>
    <row r="73" spans="1:158" x14ac:dyDescent="0.35">
      <c r="C73" s="307" t="s">
        <v>479</v>
      </c>
      <c r="D73" s="9"/>
      <c r="E73" s="16"/>
      <c r="F73" s="24"/>
      <c r="G73" s="8"/>
      <c r="H73" s="8"/>
      <c r="I73" s="8"/>
      <c r="J73" s="8"/>
      <c r="K73" s="8"/>
      <c r="L73" s="8"/>
      <c r="M73" s="8"/>
      <c r="N73" s="8"/>
      <c r="O73" s="8"/>
      <c r="P73" s="8"/>
      <c r="R73" s="8"/>
      <c r="S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V73" s="8"/>
      <c r="CW73" s="8"/>
      <c r="CX73" s="8"/>
      <c r="CY73" s="8"/>
      <c r="CZ73" s="8"/>
      <c r="DA73" s="8"/>
      <c r="DB73" s="8"/>
      <c r="DC73" s="8"/>
      <c r="DD73" s="8"/>
      <c r="DE73" s="8"/>
      <c r="DF73" s="8"/>
      <c r="DG73" s="8"/>
      <c r="DH73" s="8"/>
      <c r="DI73" s="8"/>
      <c r="DL73" s="8"/>
      <c r="DM73" s="8"/>
      <c r="DN73" s="8"/>
      <c r="DO73" s="8"/>
      <c r="DP73" s="8"/>
    </row>
    <row r="74" spans="1:158" x14ac:dyDescent="0.35">
      <c r="B74" s="299" t="s">
        <v>345</v>
      </c>
      <c r="C74" s="288" t="s">
        <v>478</v>
      </c>
      <c r="D74" s="9"/>
      <c r="E74" s="16"/>
      <c r="F74" s="24"/>
      <c r="G74" s="8"/>
      <c r="H74" s="8"/>
      <c r="I74" s="8"/>
      <c r="J74" s="8"/>
      <c r="K74" s="8"/>
      <c r="L74" s="8"/>
      <c r="M74" s="8"/>
      <c r="N74" s="8"/>
      <c r="O74" s="8"/>
      <c r="P74" s="8"/>
      <c r="R74" s="8"/>
      <c r="S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V74" s="8"/>
      <c r="CW74" s="8"/>
      <c r="CX74" s="8"/>
      <c r="CY74" s="8"/>
      <c r="CZ74" s="8"/>
      <c r="DA74" s="8"/>
      <c r="DB74" s="8"/>
      <c r="DC74" s="8"/>
      <c r="DD74" s="8"/>
      <c r="DE74" s="8"/>
      <c r="DF74" s="8"/>
      <c r="DG74" s="8"/>
      <c r="DH74" s="8"/>
      <c r="DI74" s="8"/>
      <c r="DL74" s="8"/>
      <c r="DM74" s="8"/>
      <c r="DN74" s="8"/>
      <c r="DO74" s="8"/>
      <c r="DP74" s="8"/>
    </row>
    <row r="75" spans="1:158" x14ac:dyDescent="0.35">
      <c r="C75" s="307" t="s">
        <v>480</v>
      </c>
      <c r="D75" s="9"/>
      <c r="E75" s="16"/>
      <c r="F75" s="24"/>
      <c r="G75" s="8"/>
      <c r="H75" s="8"/>
      <c r="I75" s="8"/>
      <c r="J75" s="8"/>
      <c r="K75" s="8"/>
      <c r="L75" s="8"/>
      <c r="M75" s="8"/>
      <c r="N75" s="8"/>
      <c r="O75" s="8"/>
      <c r="P75" s="8"/>
      <c r="R75" s="8"/>
      <c r="S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V75" s="8"/>
      <c r="CW75" s="8"/>
      <c r="CX75" s="8"/>
      <c r="CY75" s="8"/>
      <c r="CZ75" s="8"/>
      <c r="DA75" s="8"/>
      <c r="DB75" s="8"/>
      <c r="DC75" s="8"/>
      <c r="DD75" s="8"/>
      <c r="DE75" s="8"/>
      <c r="DF75" s="8"/>
      <c r="DG75" s="8"/>
      <c r="DH75" s="8"/>
      <c r="DI75" s="8"/>
      <c r="DL75" s="8"/>
      <c r="DM75" s="8"/>
      <c r="DN75" s="8"/>
      <c r="DO75" s="8"/>
      <c r="DP75" s="8"/>
    </row>
    <row r="76" spans="1:158" x14ac:dyDescent="0.35">
      <c r="B76" s="299" t="s">
        <v>362</v>
      </c>
      <c r="C76" s="288" t="s">
        <v>481</v>
      </c>
      <c r="D76" s="9"/>
      <c r="E76" s="16"/>
      <c r="F76" s="24"/>
      <c r="G76" s="8"/>
      <c r="H76" s="8"/>
      <c r="I76" s="8"/>
      <c r="J76" s="8"/>
      <c r="K76" s="8"/>
      <c r="L76" s="8"/>
      <c r="M76" s="8"/>
      <c r="N76" s="8"/>
      <c r="O76" s="8"/>
      <c r="P76" s="8"/>
      <c r="R76" s="8"/>
      <c r="S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V76" s="8"/>
      <c r="CW76" s="8"/>
      <c r="CX76" s="8"/>
      <c r="CY76" s="8"/>
      <c r="CZ76" s="8"/>
      <c r="DA76" s="8"/>
      <c r="DB76" s="8"/>
      <c r="DC76" s="8"/>
      <c r="DD76" s="8"/>
      <c r="DE76" s="8"/>
      <c r="DF76" s="8"/>
      <c r="DG76" s="8"/>
      <c r="DH76" s="8"/>
      <c r="DI76" s="8"/>
      <c r="DL76" s="8"/>
      <c r="DM76" s="8"/>
      <c r="DN76" s="8"/>
      <c r="DO76" s="8"/>
      <c r="DP76" s="8"/>
    </row>
    <row r="77" spans="1:158" x14ac:dyDescent="0.35">
      <c r="C77" s="307" t="s">
        <v>482</v>
      </c>
      <c r="D77" s="9"/>
      <c r="E77" s="16"/>
      <c r="F77" s="24"/>
      <c r="G77" s="8"/>
      <c r="H77" s="8"/>
      <c r="I77" s="8"/>
      <c r="J77" s="8"/>
      <c r="K77" s="8"/>
      <c r="L77" s="8"/>
      <c r="M77" s="8"/>
      <c r="N77" s="8"/>
      <c r="O77" s="8"/>
      <c r="P77" s="8"/>
      <c r="R77" s="8"/>
      <c r="S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V77" s="8"/>
      <c r="CW77" s="8"/>
      <c r="CX77" s="8"/>
      <c r="CY77" s="8"/>
      <c r="CZ77" s="8"/>
      <c r="DA77" s="8"/>
      <c r="DB77" s="8"/>
      <c r="DC77" s="8"/>
      <c r="DD77" s="8"/>
      <c r="DE77" s="8"/>
      <c r="DF77" s="8"/>
      <c r="DG77" s="8"/>
      <c r="DH77" s="8"/>
      <c r="DI77" s="8"/>
      <c r="DL77" s="8"/>
      <c r="DM77" s="8"/>
      <c r="DN77" s="8"/>
      <c r="DO77" s="8"/>
      <c r="DP77" s="8"/>
    </row>
    <row r="78" spans="1:158" ht="15" customHeight="1" x14ac:dyDescent="0.35">
      <c r="A78" s="35"/>
      <c r="B78" s="299" t="s">
        <v>404</v>
      </c>
      <c r="C78" s="284" t="s">
        <v>475</v>
      </c>
      <c r="D78" s="284"/>
      <c r="E78" s="284"/>
      <c r="F78" s="284"/>
      <c r="G78" s="284"/>
      <c r="H78" s="284"/>
      <c r="I78" s="221"/>
      <c r="J78" s="221"/>
      <c r="K78" s="8"/>
      <c r="L78" s="8"/>
      <c r="M78" s="8"/>
      <c r="N78" s="8"/>
      <c r="O78" s="8"/>
      <c r="P78" s="8"/>
      <c r="R78" s="8"/>
      <c r="S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17"/>
      <c r="CH78" s="17"/>
      <c r="CI78" s="8"/>
      <c r="CJ78" s="8"/>
      <c r="CK78" s="8"/>
      <c r="CL78" s="8"/>
      <c r="CM78" s="8"/>
      <c r="CN78" s="8"/>
      <c r="CO78" s="8"/>
      <c r="CP78" s="8"/>
      <c r="CQ78" s="8"/>
      <c r="CR78" s="8"/>
      <c r="CS78" s="8"/>
      <c r="CT78" s="8"/>
      <c r="CV78" s="8"/>
      <c r="CW78" s="8"/>
      <c r="CX78" s="8"/>
      <c r="CY78" s="8"/>
      <c r="CZ78" s="8"/>
      <c r="DA78" s="8"/>
      <c r="DB78" s="8"/>
      <c r="DC78" s="8"/>
      <c r="DD78" s="8"/>
      <c r="DE78" s="8"/>
      <c r="DF78" s="8"/>
      <c r="DG78" s="8"/>
      <c r="DH78" s="8"/>
      <c r="DI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row>
    <row r="79" spans="1:158" x14ac:dyDescent="0.35">
      <c r="A79" s="35"/>
      <c r="B79" s="300"/>
      <c r="C79" s="286" t="s">
        <v>476</v>
      </c>
      <c r="D79" s="287"/>
      <c r="E79" s="286"/>
      <c r="F79" s="505"/>
      <c r="G79" s="505"/>
      <c r="H79" s="505"/>
      <c r="I79" s="221"/>
      <c r="J79" s="221"/>
      <c r="K79" s="8"/>
      <c r="L79" s="8"/>
      <c r="M79" s="8"/>
      <c r="N79" s="8"/>
      <c r="O79" s="8"/>
      <c r="P79" s="8"/>
      <c r="R79" s="8"/>
      <c r="S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17"/>
      <c r="CH79" s="17"/>
      <c r="CI79" s="8"/>
      <c r="CJ79" s="8"/>
      <c r="CK79" s="8"/>
      <c r="CL79" s="8"/>
      <c r="CM79" s="8"/>
      <c r="CN79" s="8"/>
      <c r="CO79" s="8"/>
      <c r="CP79" s="8"/>
      <c r="CQ79" s="8"/>
      <c r="CR79" s="8"/>
      <c r="CS79" s="8"/>
      <c r="CT79" s="8"/>
      <c r="CV79" s="8"/>
      <c r="CW79" s="8"/>
      <c r="CX79" s="8"/>
      <c r="CY79" s="8"/>
      <c r="CZ79" s="8"/>
      <c r="DA79" s="8"/>
      <c r="DB79" s="8"/>
      <c r="DC79" s="8"/>
      <c r="DD79" s="8"/>
      <c r="DE79" s="8"/>
      <c r="DF79" s="8"/>
      <c r="DG79" s="8"/>
      <c r="DH79" s="8"/>
      <c r="DI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row>
    <row r="80" spans="1:158" x14ac:dyDescent="0.35">
      <c r="B80" s="310"/>
      <c r="C80" s="309"/>
      <c r="D80" s="9"/>
      <c r="E80" s="16"/>
      <c r="F80" s="24"/>
      <c r="G80" s="8"/>
      <c r="H80" s="8"/>
      <c r="I80" s="8"/>
      <c r="J80" s="8"/>
      <c r="K80" s="8"/>
      <c r="L80" s="8"/>
      <c r="M80" s="8"/>
      <c r="N80" s="8"/>
      <c r="O80" s="8"/>
      <c r="P80" s="8"/>
      <c r="R80" s="8"/>
      <c r="S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V80" s="8"/>
      <c r="CW80" s="8"/>
      <c r="CX80" s="8"/>
      <c r="CY80" s="8"/>
      <c r="CZ80" s="8"/>
      <c r="DA80" s="8"/>
      <c r="DB80" s="8"/>
      <c r="DC80" s="8"/>
      <c r="DD80" s="8"/>
      <c r="DE80" s="8"/>
      <c r="DF80" s="8"/>
      <c r="DG80" s="8"/>
      <c r="DH80" s="8"/>
      <c r="DI80" s="8"/>
      <c r="DL80" s="8"/>
      <c r="DM80" s="8"/>
      <c r="DN80" s="8"/>
      <c r="DO80" s="8"/>
      <c r="DP80" s="8"/>
    </row>
    <row r="81" spans="2:122" x14ac:dyDescent="0.35">
      <c r="B81" s="293" t="s">
        <v>84</v>
      </c>
      <c r="C81" s="293"/>
      <c r="D81" s="9"/>
      <c r="E81" s="16"/>
      <c r="F81" s="24"/>
      <c r="G81" s="8"/>
      <c r="H81" s="8"/>
      <c r="I81" s="8"/>
      <c r="J81" s="8"/>
      <c r="K81" s="8"/>
      <c r="L81" s="8"/>
      <c r="M81" s="8"/>
      <c r="N81" s="8"/>
      <c r="O81" s="8"/>
      <c r="P81" s="8"/>
      <c r="R81" s="8"/>
      <c r="S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V81" s="8"/>
      <c r="CW81" s="8"/>
      <c r="CX81" s="8"/>
      <c r="CY81" s="8"/>
      <c r="CZ81" s="8"/>
      <c r="DA81" s="8"/>
      <c r="DB81" s="8"/>
      <c r="DC81" s="8"/>
      <c r="DD81" s="8"/>
      <c r="DE81" s="8"/>
      <c r="DF81" s="8"/>
      <c r="DG81" s="8"/>
      <c r="DH81" s="8"/>
      <c r="DI81" s="8"/>
      <c r="DL81" s="8"/>
      <c r="DM81" s="8"/>
      <c r="DN81" s="8"/>
      <c r="DO81" s="8"/>
      <c r="DP81" s="8"/>
    </row>
    <row r="82" spans="2:122" ht="27" customHeight="1" x14ac:dyDescent="0.35">
      <c r="B82" s="298" t="s">
        <v>256</v>
      </c>
      <c r="C82" s="566" t="s">
        <v>441</v>
      </c>
      <c r="D82" s="566"/>
      <c r="E82" s="566"/>
      <c r="F82" s="566"/>
      <c r="G82" s="566"/>
      <c r="H82" s="306"/>
      <c r="I82" s="8"/>
      <c r="J82" s="8"/>
      <c r="K82" s="8"/>
      <c r="L82" s="8"/>
      <c r="M82" s="8"/>
      <c r="N82" s="8"/>
      <c r="O82" s="8"/>
      <c r="P82" s="8"/>
      <c r="R82" s="8"/>
      <c r="S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V82" s="8"/>
      <c r="CW82" s="8"/>
      <c r="CX82" s="8"/>
      <c r="CY82" s="8"/>
      <c r="CZ82" s="8"/>
      <c r="DA82" s="8"/>
      <c r="DB82" s="8"/>
      <c r="DC82" s="8"/>
      <c r="DD82" s="8"/>
      <c r="DE82" s="8"/>
      <c r="DF82" s="8"/>
      <c r="DG82" s="8"/>
      <c r="DH82" s="8"/>
      <c r="DI82" s="8"/>
      <c r="DL82" s="8"/>
      <c r="DM82" s="8"/>
      <c r="DN82" s="8"/>
      <c r="DO82" s="8"/>
      <c r="DP82" s="8"/>
    </row>
    <row r="83" spans="2:122" ht="39" customHeight="1" x14ac:dyDescent="0.35">
      <c r="B83" s="298" t="s">
        <v>263</v>
      </c>
      <c r="C83" s="566" t="s">
        <v>440</v>
      </c>
      <c r="D83" s="566"/>
      <c r="E83" s="566"/>
      <c r="F83" s="566"/>
      <c r="G83" s="566"/>
      <c r="H83" s="516"/>
      <c r="I83" s="8"/>
      <c r="J83" s="8"/>
      <c r="K83" s="8"/>
      <c r="L83" s="8"/>
      <c r="M83" s="8"/>
      <c r="N83" s="8"/>
      <c r="O83" s="8"/>
      <c r="P83" s="8"/>
      <c r="R83" s="8"/>
      <c r="S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V83" s="8"/>
      <c r="CW83" s="8"/>
      <c r="CX83" s="8"/>
      <c r="CY83" s="8"/>
      <c r="CZ83" s="8"/>
      <c r="DA83" s="8"/>
      <c r="DB83" s="8"/>
      <c r="DC83" s="8"/>
      <c r="DD83" s="8"/>
      <c r="DE83" s="8"/>
      <c r="DF83" s="8"/>
      <c r="DG83" s="8"/>
      <c r="DH83" s="8"/>
      <c r="DI83" s="8"/>
      <c r="DL83" s="8"/>
      <c r="DM83" s="8"/>
      <c r="DN83" s="8"/>
      <c r="DO83" s="8"/>
      <c r="DP83" s="8"/>
    </row>
    <row r="84" spans="2:122" x14ac:dyDescent="0.35">
      <c r="B84" s="497" t="s">
        <v>264</v>
      </c>
      <c r="C84" s="287" t="s">
        <v>449</v>
      </c>
      <c r="D84" s="516"/>
      <c r="E84" s="516"/>
      <c r="F84" s="516"/>
      <c r="G84" s="516"/>
      <c r="H84" s="516"/>
      <c r="I84" s="8"/>
      <c r="J84" s="8"/>
      <c r="K84" s="8"/>
      <c r="L84" s="8"/>
      <c r="M84" s="8"/>
      <c r="N84" s="8"/>
      <c r="O84" s="8"/>
      <c r="P84" s="8"/>
      <c r="R84" s="8"/>
      <c r="S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V84" s="8"/>
      <c r="CW84" s="8"/>
      <c r="CX84" s="8"/>
      <c r="CY84" s="8"/>
      <c r="CZ84" s="8"/>
      <c r="DA84" s="8"/>
      <c r="DB84" s="8"/>
      <c r="DC84" s="8"/>
      <c r="DD84" s="8"/>
      <c r="DE84" s="8"/>
      <c r="DF84" s="8"/>
      <c r="DG84" s="8"/>
      <c r="DH84" s="8"/>
      <c r="DI84" s="8"/>
      <c r="DL84" s="8"/>
      <c r="DM84" s="8"/>
      <c r="DN84" s="8"/>
      <c r="DO84" s="8"/>
      <c r="DP84" s="8"/>
    </row>
    <row r="85" spans="2:122" s="482" customFormat="1" ht="39" customHeight="1" x14ac:dyDescent="0.35">
      <c r="B85" s="497" t="s">
        <v>265</v>
      </c>
      <c r="C85" s="581" t="s">
        <v>444</v>
      </c>
      <c r="D85" s="583"/>
      <c r="E85" s="583"/>
      <c r="F85" s="583"/>
      <c r="G85" s="583"/>
      <c r="H85" s="522"/>
      <c r="I85" s="488"/>
      <c r="J85" s="488"/>
      <c r="K85" s="488"/>
      <c r="L85" s="488"/>
      <c r="M85" s="488"/>
      <c r="N85" s="488"/>
      <c r="O85" s="488"/>
      <c r="P85" s="488"/>
      <c r="R85" s="488"/>
      <c r="S85" s="488"/>
      <c r="T85" s="488"/>
      <c r="U85" s="488"/>
      <c r="V85" s="488"/>
      <c r="W85" s="488"/>
      <c r="X85" s="488"/>
      <c r="Y85" s="488"/>
      <c r="Z85" s="488"/>
      <c r="AA85" s="488"/>
      <c r="AB85" s="488"/>
      <c r="AC85" s="488"/>
      <c r="AD85" s="488"/>
      <c r="AE85" s="488"/>
      <c r="AF85" s="488"/>
      <c r="AG85" s="488"/>
      <c r="AH85" s="488"/>
      <c r="AI85" s="488"/>
      <c r="AJ85" s="488"/>
      <c r="AK85" s="488"/>
      <c r="AL85" s="488"/>
      <c r="AM85" s="488"/>
      <c r="AN85" s="488"/>
      <c r="AO85" s="488"/>
      <c r="AP85" s="488"/>
      <c r="AQ85" s="488"/>
      <c r="AR85" s="488"/>
      <c r="AS85" s="488"/>
      <c r="AT85" s="488"/>
      <c r="AU85" s="488"/>
      <c r="AV85" s="488"/>
      <c r="AW85" s="488"/>
      <c r="AX85" s="488"/>
      <c r="AY85" s="488"/>
      <c r="AZ85" s="488"/>
      <c r="BA85" s="488"/>
      <c r="BB85" s="488"/>
      <c r="BC85" s="488"/>
      <c r="BD85" s="488"/>
      <c r="BE85" s="488"/>
      <c r="BF85" s="488"/>
      <c r="BG85" s="488"/>
      <c r="BH85" s="488"/>
      <c r="BI85" s="488"/>
      <c r="BJ85" s="488"/>
      <c r="BK85" s="488"/>
      <c r="BL85" s="488"/>
      <c r="BM85" s="488"/>
      <c r="BN85" s="488"/>
      <c r="BO85" s="488"/>
      <c r="BP85" s="488"/>
      <c r="BQ85" s="488"/>
      <c r="BR85" s="488"/>
      <c r="BS85" s="488"/>
      <c r="BT85" s="488"/>
      <c r="BU85" s="488"/>
      <c r="BV85" s="488"/>
      <c r="BW85" s="488"/>
      <c r="BX85" s="488"/>
      <c r="BY85" s="488"/>
      <c r="BZ85" s="488"/>
      <c r="CA85" s="488"/>
      <c r="CB85" s="488"/>
      <c r="CC85" s="488"/>
      <c r="CD85" s="488"/>
      <c r="CE85" s="488"/>
      <c r="CF85" s="488"/>
      <c r="CG85" s="488"/>
      <c r="CH85" s="488"/>
      <c r="CI85" s="488"/>
      <c r="CJ85" s="488"/>
      <c r="CK85" s="488"/>
      <c r="CL85" s="488"/>
      <c r="CM85" s="488"/>
      <c r="CN85" s="488"/>
      <c r="CO85" s="488"/>
      <c r="CP85" s="488"/>
      <c r="CQ85" s="488"/>
      <c r="CR85" s="488"/>
      <c r="CS85" s="488"/>
      <c r="CT85" s="488"/>
      <c r="CV85" s="488"/>
      <c r="CW85" s="488"/>
      <c r="CX85" s="488"/>
      <c r="CY85" s="488"/>
      <c r="CZ85" s="488"/>
      <c r="DA85" s="488"/>
      <c r="DB85" s="488"/>
      <c r="DC85" s="488"/>
      <c r="DD85" s="488"/>
      <c r="DE85" s="488"/>
      <c r="DF85" s="488"/>
      <c r="DG85" s="488"/>
      <c r="DH85" s="488"/>
      <c r="DI85" s="488"/>
      <c r="DJ85" s="488"/>
      <c r="DK85" s="488"/>
      <c r="DL85" s="488"/>
      <c r="DM85" s="488"/>
      <c r="DN85" s="488"/>
      <c r="DO85" s="488"/>
      <c r="DP85" s="488"/>
      <c r="DQ85" s="489"/>
      <c r="DR85" s="488"/>
    </row>
    <row r="86" spans="2:122" s="482" customFormat="1" ht="39" customHeight="1" x14ac:dyDescent="0.35">
      <c r="B86" s="497" t="s">
        <v>266</v>
      </c>
      <c r="C86" s="581" t="s">
        <v>445</v>
      </c>
      <c r="D86" s="583"/>
      <c r="E86" s="583"/>
      <c r="F86" s="583"/>
      <c r="G86" s="583"/>
      <c r="H86" s="522"/>
      <c r="I86" s="488"/>
      <c r="J86" s="488"/>
      <c r="K86" s="488"/>
      <c r="L86" s="488"/>
      <c r="M86" s="488"/>
      <c r="N86" s="488"/>
      <c r="O86" s="488"/>
      <c r="P86" s="488"/>
      <c r="R86" s="488"/>
      <c r="S86" s="488"/>
      <c r="T86" s="488"/>
      <c r="U86" s="488"/>
      <c r="V86" s="488"/>
      <c r="W86" s="488"/>
      <c r="X86" s="488"/>
      <c r="Y86" s="488"/>
      <c r="Z86" s="488"/>
      <c r="AA86" s="488"/>
      <c r="AB86" s="488"/>
      <c r="AC86" s="488"/>
      <c r="AD86" s="488"/>
      <c r="AE86" s="488"/>
      <c r="AF86" s="488"/>
      <c r="AG86" s="488"/>
      <c r="AH86" s="488"/>
      <c r="AI86" s="488"/>
      <c r="AJ86" s="488"/>
      <c r="AK86" s="488"/>
      <c r="AL86" s="488"/>
      <c r="AM86" s="488"/>
      <c r="AN86" s="488"/>
      <c r="AO86" s="488"/>
      <c r="AP86" s="488"/>
      <c r="AQ86" s="488"/>
      <c r="AR86" s="488"/>
      <c r="AS86" s="488"/>
      <c r="AT86" s="488"/>
      <c r="AU86" s="488"/>
      <c r="AV86" s="488"/>
      <c r="AW86" s="488"/>
      <c r="AX86" s="488"/>
      <c r="AY86" s="488"/>
      <c r="AZ86" s="488"/>
      <c r="BA86" s="488"/>
      <c r="BB86" s="488"/>
      <c r="BC86" s="488"/>
      <c r="BD86" s="488"/>
      <c r="BE86" s="488"/>
      <c r="BF86" s="488"/>
      <c r="BG86" s="488"/>
      <c r="BH86" s="488"/>
      <c r="BI86" s="488"/>
      <c r="BJ86" s="488"/>
      <c r="BK86" s="488"/>
      <c r="BL86" s="488"/>
      <c r="BM86" s="488"/>
      <c r="BN86" s="488"/>
      <c r="BO86" s="488"/>
      <c r="BP86" s="488"/>
      <c r="BQ86" s="488"/>
      <c r="BR86" s="488"/>
      <c r="BS86" s="488"/>
      <c r="BT86" s="488"/>
      <c r="BU86" s="488"/>
      <c r="BV86" s="488"/>
      <c r="BW86" s="488"/>
      <c r="BX86" s="488"/>
      <c r="BY86" s="488"/>
      <c r="BZ86" s="488"/>
      <c r="CA86" s="488"/>
      <c r="CB86" s="488"/>
      <c r="CC86" s="488"/>
      <c r="CD86" s="488"/>
      <c r="CE86" s="488"/>
      <c r="CF86" s="488"/>
      <c r="CG86" s="488"/>
      <c r="CH86" s="488"/>
      <c r="CI86" s="488"/>
      <c r="CJ86" s="488"/>
      <c r="CK86" s="488"/>
      <c r="CL86" s="488"/>
      <c r="CM86" s="488"/>
      <c r="CN86" s="488"/>
      <c r="CO86" s="488"/>
      <c r="CP86" s="488"/>
      <c r="CQ86" s="488"/>
      <c r="CR86" s="488"/>
      <c r="CS86" s="488"/>
      <c r="CT86" s="488"/>
      <c r="CV86" s="488"/>
      <c r="CW86" s="488"/>
      <c r="CX86" s="488"/>
      <c r="CY86" s="488"/>
      <c r="CZ86" s="488"/>
      <c r="DA86" s="488"/>
      <c r="DB86" s="488"/>
      <c r="DC86" s="488"/>
      <c r="DD86" s="488"/>
      <c r="DE86" s="488"/>
      <c r="DF86" s="488"/>
      <c r="DG86" s="488"/>
      <c r="DH86" s="488"/>
      <c r="DI86" s="488"/>
      <c r="DJ86" s="488"/>
      <c r="DK86" s="488"/>
      <c r="DL86" s="488"/>
      <c r="DM86" s="488"/>
      <c r="DN86" s="488"/>
      <c r="DO86" s="488"/>
      <c r="DP86" s="488"/>
      <c r="DQ86" s="489"/>
      <c r="DR86" s="488"/>
    </row>
    <row r="87" spans="2:122" ht="27" customHeight="1" x14ac:dyDescent="0.35">
      <c r="B87" s="298" t="s">
        <v>267</v>
      </c>
      <c r="C87" s="581" t="s">
        <v>386</v>
      </c>
      <c r="D87" s="581"/>
      <c r="E87" s="581"/>
      <c r="F87" s="581"/>
      <c r="G87" s="581"/>
      <c r="H87" s="520"/>
      <c r="I87" s="8"/>
      <c r="J87" s="8"/>
      <c r="K87" s="8"/>
      <c r="L87" s="8"/>
      <c r="M87" s="8"/>
      <c r="N87" s="8"/>
      <c r="O87" s="8"/>
      <c r="P87" s="8"/>
      <c r="R87" s="8"/>
      <c r="S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V87" s="8"/>
      <c r="CW87" s="8"/>
      <c r="CX87" s="8"/>
      <c r="CY87" s="8"/>
      <c r="CZ87" s="8"/>
      <c r="DA87" s="8"/>
      <c r="DB87" s="8"/>
      <c r="DC87" s="8"/>
      <c r="DD87" s="8"/>
      <c r="DE87" s="8"/>
      <c r="DF87" s="8"/>
      <c r="DG87" s="8"/>
      <c r="DH87" s="8"/>
      <c r="DI87" s="8"/>
      <c r="DL87" s="8"/>
      <c r="DM87" s="8"/>
      <c r="DN87" s="8"/>
      <c r="DO87" s="8"/>
      <c r="DP87" s="8"/>
    </row>
    <row r="88" spans="2:122" x14ac:dyDescent="0.35">
      <c r="B88" s="298" t="s">
        <v>268</v>
      </c>
      <c r="C88" s="310" t="s">
        <v>302</v>
      </c>
      <c r="D88" s="306"/>
      <c r="E88" s="306"/>
      <c r="F88" s="306"/>
      <c r="G88" s="306"/>
      <c r="H88" s="306"/>
      <c r="I88" s="8"/>
      <c r="J88" s="8"/>
      <c r="K88" s="8"/>
      <c r="L88" s="8"/>
      <c r="M88" s="8"/>
      <c r="N88" s="8"/>
      <c r="O88" s="8"/>
      <c r="P88" s="8"/>
      <c r="R88" s="8"/>
      <c r="S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V88" s="8"/>
      <c r="CW88" s="8"/>
      <c r="CX88" s="8"/>
      <c r="CY88" s="8"/>
      <c r="CZ88" s="8"/>
      <c r="DA88" s="8"/>
      <c r="DB88" s="8"/>
      <c r="DC88" s="8"/>
      <c r="DD88" s="8"/>
      <c r="DE88" s="8"/>
      <c r="DF88" s="8"/>
      <c r="DG88" s="8"/>
      <c r="DH88" s="8"/>
      <c r="DI88" s="8"/>
      <c r="DL88" s="8"/>
      <c r="DM88" s="8"/>
      <c r="DN88" s="8"/>
      <c r="DO88" s="8"/>
      <c r="DP88" s="8"/>
    </row>
    <row r="89" spans="2:122" x14ac:dyDescent="0.35">
      <c r="B89" s="298" t="s">
        <v>269</v>
      </c>
      <c r="C89" s="310" t="s">
        <v>321</v>
      </c>
      <c r="D89" s="306"/>
      <c r="E89" s="306"/>
      <c r="F89" s="306"/>
      <c r="G89" s="306"/>
      <c r="H89" s="306"/>
      <c r="I89" s="8"/>
      <c r="J89" s="8"/>
      <c r="K89" s="8"/>
      <c r="L89" s="8"/>
      <c r="M89" s="8"/>
      <c r="N89" s="8"/>
      <c r="O89" s="8"/>
      <c r="P89" s="8"/>
      <c r="R89" s="8"/>
      <c r="S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V89" s="8"/>
      <c r="CW89" s="8"/>
      <c r="CX89" s="8"/>
      <c r="CY89" s="8"/>
      <c r="CZ89" s="8"/>
      <c r="DA89" s="8"/>
      <c r="DB89" s="8"/>
      <c r="DC89" s="8"/>
      <c r="DD89" s="8"/>
      <c r="DE89" s="8"/>
      <c r="DF89" s="8"/>
      <c r="DG89" s="8"/>
      <c r="DH89" s="8"/>
      <c r="DI89" s="8"/>
      <c r="DL89" s="8"/>
      <c r="DM89" s="8"/>
      <c r="DN89" s="8"/>
      <c r="DO89" s="8"/>
      <c r="DP89" s="8"/>
    </row>
    <row r="90" spans="2:122" x14ac:dyDescent="0.35">
      <c r="B90" s="298" t="s">
        <v>270</v>
      </c>
      <c r="C90" s="499" t="s">
        <v>392</v>
      </c>
      <c r="D90" s="306"/>
      <c r="E90" s="306"/>
      <c r="F90" s="306"/>
      <c r="G90" s="306"/>
      <c r="H90" s="306"/>
      <c r="I90" s="8"/>
      <c r="J90" s="8"/>
      <c r="K90" s="8"/>
      <c r="L90" s="8"/>
      <c r="M90" s="8"/>
      <c r="N90" s="8"/>
      <c r="O90" s="8"/>
      <c r="P90" s="8"/>
      <c r="R90" s="8"/>
      <c r="S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V90" s="8"/>
      <c r="CW90" s="8"/>
      <c r="CX90" s="8"/>
      <c r="CY90" s="8"/>
      <c r="CZ90" s="8"/>
      <c r="DA90" s="8"/>
      <c r="DB90" s="8"/>
      <c r="DC90" s="8"/>
      <c r="DD90" s="8"/>
      <c r="DE90" s="8"/>
      <c r="DF90" s="8"/>
      <c r="DG90" s="8"/>
      <c r="DH90" s="8"/>
      <c r="DI90" s="8"/>
      <c r="DL90" s="8"/>
      <c r="DM90" s="8"/>
      <c r="DN90" s="8"/>
      <c r="DO90" s="8"/>
      <c r="DP90" s="8"/>
    </row>
    <row r="91" spans="2:122" x14ac:dyDescent="0.35">
      <c r="B91" s="298" t="s">
        <v>271</v>
      </c>
      <c r="C91" s="287" t="s">
        <v>258</v>
      </c>
      <c r="D91" s="9"/>
      <c r="E91" s="16"/>
      <c r="F91" s="24"/>
      <c r="G91" s="8"/>
      <c r="H91" s="8"/>
      <c r="I91" s="8"/>
      <c r="J91" s="8"/>
      <c r="K91" s="8"/>
      <c r="L91" s="8"/>
      <c r="M91" s="8"/>
      <c r="N91" s="8"/>
      <c r="O91" s="8"/>
      <c r="P91" s="8"/>
      <c r="R91" s="8"/>
      <c r="S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V91" s="8"/>
      <c r="CW91" s="8"/>
      <c r="CX91" s="8"/>
      <c r="CY91" s="8"/>
      <c r="CZ91" s="8"/>
      <c r="DA91" s="8"/>
      <c r="DB91" s="8"/>
      <c r="DC91" s="8"/>
      <c r="DD91" s="8"/>
      <c r="DE91" s="8"/>
      <c r="DF91" s="8"/>
      <c r="DG91" s="8"/>
      <c r="DH91" s="8"/>
      <c r="DI91" s="8"/>
      <c r="DL91" s="8"/>
      <c r="DM91" s="8"/>
      <c r="DN91" s="8"/>
      <c r="DO91" s="8"/>
      <c r="DP91" s="8"/>
    </row>
    <row r="92" spans="2:122" x14ac:dyDescent="0.35">
      <c r="B92" s="298"/>
      <c r="C92" s="16"/>
      <c r="D92" s="9"/>
      <c r="E92" s="16"/>
      <c r="F92" s="24"/>
      <c r="G92" s="8"/>
      <c r="H92" s="8"/>
      <c r="I92" s="8"/>
      <c r="J92" s="8"/>
      <c r="K92" s="8"/>
      <c r="L92" s="8"/>
      <c r="M92" s="8"/>
      <c r="N92" s="8"/>
      <c r="O92" s="8"/>
      <c r="P92" s="8"/>
      <c r="R92" s="8"/>
      <c r="S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V92" s="8"/>
      <c r="CW92" s="8"/>
      <c r="CX92" s="8"/>
      <c r="CY92" s="8"/>
      <c r="CZ92" s="8"/>
      <c r="DA92" s="8"/>
      <c r="DB92" s="8"/>
      <c r="DC92" s="8"/>
      <c r="DD92" s="8"/>
      <c r="DE92" s="8"/>
      <c r="DF92" s="8"/>
      <c r="DG92" s="8"/>
      <c r="DH92" s="8"/>
      <c r="DI92" s="8"/>
      <c r="DL92" s="8"/>
      <c r="DM92" s="8"/>
      <c r="DN92" s="8"/>
      <c r="DO92" s="8"/>
      <c r="DP92" s="8"/>
    </row>
    <row r="93" spans="2:122" x14ac:dyDescent="0.35">
      <c r="B93" s="16"/>
      <c r="C93" s="16"/>
      <c r="D93" s="9"/>
      <c r="E93" s="16"/>
      <c r="F93" s="24"/>
      <c r="G93" s="8"/>
      <c r="H93" s="8"/>
      <c r="I93" s="8"/>
      <c r="J93" s="8"/>
      <c r="K93" s="8"/>
      <c r="L93" s="8"/>
      <c r="M93" s="8"/>
      <c r="N93" s="8"/>
      <c r="O93" s="8"/>
      <c r="P93" s="8"/>
      <c r="R93" s="8"/>
      <c r="S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V93" s="8"/>
      <c r="CW93" s="8"/>
      <c r="CX93" s="8"/>
      <c r="CY93" s="8"/>
      <c r="CZ93" s="8"/>
      <c r="DA93" s="8"/>
      <c r="DB93" s="8"/>
      <c r="DC93" s="8"/>
      <c r="DD93" s="8"/>
      <c r="DE93" s="8"/>
      <c r="DF93" s="8"/>
      <c r="DG93" s="8"/>
      <c r="DH93" s="8"/>
      <c r="DI93" s="8"/>
      <c r="DL93" s="8"/>
      <c r="DM93" s="8"/>
      <c r="DN93" s="8"/>
      <c r="DO93" s="8"/>
      <c r="DP93" s="8"/>
    </row>
    <row r="94" spans="2:122" x14ac:dyDescent="0.35">
      <c r="B94" s="16"/>
      <c r="C94" s="16"/>
      <c r="D94" s="9"/>
      <c r="E94" s="16"/>
      <c r="F94" s="24"/>
      <c r="G94" s="8"/>
      <c r="H94" s="8"/>
      <c r="I94" s="8"/>
      <c r="J94" s="8"/>
      <c r="K94" s="8"/>
      <c r="L94" s="8"/>
      <c r="M94" s="8"/>
      <c r="N94" s="8"/>
      <c r="O94" s="8"/>
      <c r="P94" s="8"/>
      <c r="R94" s="8"/>
      <c r="S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V94" s="8"/>
      <c r="CW94" s="8"/>
      <c r="CX94" s="8"/>
      <c r="CY94" s="8"/>
      <c r="CZ94" s="8"/>
      <c r="DA94" s="8"/>
      <c r="DB94" s="8"/>
      <c r="DC94" s="8"/>
      <c r="DD94" s="8"/>
      <c r="DE94" s="8"/>
      <c r="DF94" s="8"/>
      <c r="DG94" s="8"/>
      <c r="DH94" s="8"/>
      <c r="DI94" s="8"/>
      <c r="DL94" s="8"/>
      <c r="DM94" s="8"/>
      <c r="DN94" s="8"/>
      <c r="DO94" s="8"/>
      <c r="DP94" s="8"/>
    </row>
    <row r="95" spans="2:122" x14ac:dyDescent="0.35">
      <c r="B95" s="16"/>
      <c r="C95" s="16"/>
      <c r="D95" s="9"/>
      <c r="E95" s="16"/>
      <c r="F95" s="24"/>
      <c r="G95" s="8"/>
      <c r="H95" s="8"/>
      <c r="I95" s="8"/>
      <c r="J95" s="8"/>
      <c r="K95" s="8"/>
      <c r="L95" s="8"/>
      <c r="M95" s="8"/>
      <c r="N95" s="8"/>
      <c r="O95" s="8"/>
      <c r="P95" s="8"/>
      <c r="R95" s="8"/>
      <c r="S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V95" s="8"/>
      <c r="CW95" s="8"/>
      <c r="CX95" s="8"/>
      <c r="CY95" s="8"/>
      <c r="CZ95" s="8"/>
      <c r="DA95" s="8"/>
      <c r="DB95" s="8"/>
      <c r="DC95" s="8"/>
      <c r="DD95" s="8"/>
      <c r="DE95" s="8"/>
      <c r="DF95" s="8"/>
      <c r="DG95" s="8"/>
      <c r="DH95" s="8"/>
      <c r="DI95" s="8"/>
      <c r="DL95" s="8"/>
      <c r="DM95" s="8"/>
      <c r="DN95" s="8"/>
      <c r="DO95" s="8"/>
      <c r="DP95" s="8"/>
    </row>
    <row r="96" spans="2:122" x14ac:dyDescent="0.35">
      <c r="B96" s="8"/>
      <c r="C96" s="8"/>
      <c r="D96" s="8"/>
      <c r="E96" s="8"/>
      <c r="F96" s="24"/>
      <c r="G96" s="8"/>
      <c r="H96" s="8"/>
      <c r="I96" s="8"/>
      <c r="J96" s="8"/>
      <c r="K96" s="8"/>
      <c r="L96" s="8"/>
      <c r="M96" s="8"/>
      <c r="N96" s="8"/>
      <c r="O96" s="8"/>
      <c r="P96" s="8"/>
      <c r="R96" s="8"/>
      <c r="S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V96" s="8"/>
      <c r="CW96" s="8"/>
      <c r="CX96" s="8"/>
      <c r="CY96" s="8"/>
      <c r="CZ96" s="8"/>
      <c r="DA96" s="8"/>
      <c r="DB96" s="8"/>
      <c r="DC96" s="8"/>
      <c r="DD96" s="8"/>
      <c r="DE96" s="8"/>
      <c r="DF96" s="8"/>
      <c r="DG96" s="8"/>
      <c r="DH96" s="8"/>
      <c r="DI96" s="8"/>
      <c r="DL96" s="8"/>
      <c r="DM96" s="8"/>
      <c r="DN96" s="8"/>
      <c r="DO96" s="8"/>
      <c r="DP96" s="8"/>
    </row>
    <row r="97" spans="2:120" x14ac:dyDescent="0.35">
      <c r="B97" s="27"/>
      <c r="C97" s="27"/>
      <c r="D97" s="16"/>
      <c r="E97" s="16"/>
      <c r="F97" s="24"/>
      <c r="G97" s="8"/>
      <c r="H97" s="8"/>
      <c r="I97" s="8"/>
      <c r="J97" s="8"/>
      <c r="K97" s="8"/>
      <c r="L97" s="8"/>
      <c r="M97" s="8"/>
      <c r="N97" s="8"/>
      <c r="O97" s="8"/>
      <c r="P97" s="8"/>
      <c r="R97" s="8"/>
      <c r="S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V97" s="8"/>
      <c r="CW97" s="8"/>
      <c r="CX97" s="8"/>
      <c r="CY97" s="8"/>
      <c r="CZ97" s="8"/>
      <c r="DA97" s="8"/>
      <c r="DB97" s="8"/>
      <c r="DC97" s="8"/>
      <c r="DD97" s="8"/>
      <c r="DE97" s="8"/>
      <c r="DF97" s="8"/>
      <c r="DG97" s="8"/>
      <c r="DH97" s="8"/>
      <c r="DI97" s="8"/>
      <c r="DL97" s="8"/>
      <c r="DM97" s="8"/>
      <c r="DN97" s="8"/>
      <c r="DO97" s="8"/>
      <c r="DP97" s="8"/>
    </row>
    <row r="98" spans="2:120" x14ac:dyDescent="0.35">
      <c r="B98" s="16"/>
      <c r="C98" s="16"/>
      <c r="D98" s="16"/>
      <c r="E98" s="16"/>
      <c r="F98" s="24"/>
      <c r="G98" s="8"/>
      <c r="H98" s="8"/>
      <c r="I98" s="8"/>
      <c r="J98" s="8"/>
      <c r="K98" s="8"/>
      <c r="L98" s="8"/>
      <c r="M98" s="8"/>
      <c r="N98" s="8"/>
      <c r="O98" s="8"/>
      <c r="P98" s="8"/>
      <c r="R98" s="8"/>
      <c r="S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V98" s="8"/>
      <c r="CW98" s="8"/>
      <c r="CX98" s="8"/>
      <c r="CY98" s="8"/>
      <c r="CZ98" s="8"/>
      <c r="DA98" s="8"/>
      <c r="DB98" s="8"/>
      <c r="DC98" s="8"/>
      <c r="DD98" s="8"/>
      <c r="DE98" s="8"/>
      <c r="DF98" s="8"/>
      <c r="DG98" s="8"/>
      <c r="DH98" s="8"/>
      <c r="DI98" s="8"/>
      <c r="DL98" s="8"/>
      <c r="DM98" s="8"/>
      <c r="DN98" s="8"/>
      <c r="DO98" s="8"/>
      <c r="DP98" s="8"/>
    </row>
    <row r="99" spans="2:120" x14ac:dyDescent="0.35">
      <c r="B99" s="16"/>
      <c r="C99" s="16"/>
      <c r="D99" s="16"/>
      <c r="E99" s="16"/>
      <c r="F99" s="24"/>
      <c r="G99" s="8"/>
      <c r="H99" s="8"/>
      <c r="I99" s="8"/>
      <c r="J99" s="8"/>
      <c r="K99" s="8"/>
      <c r="L99" s="8"/>
      <c r="M99" s="8"/>
      <c r="N99" s="8"/>
      <c r="O99" s="8"/>
      <c r="P99" s="8"/>
      <c r="R99" s="8"/>
      <c r="S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V99" s="8"/>
      <c r="CW99" s="8"/>
      <c r="CX99" s="8"/>
      <c r="CY99" s="8"/>
      <c r="CZ99" s="8"/>
      <c r="DA99" s="8"/>
      <c r="DB99" s="8"/>
      <c r="DC99" s="8"/>
      <c r="DD99" s="8"/>
      <c r="DE99" s="8"/>
      <c r="DF99" s="8"/>
      <c r="DG99" s="8"/>
      <c r="DH99" s="8"/>
      <c r="DI99" s="8"/>
      <c r="DL99" s="8"/>
      <c r="DM99" s="8"/>
      <c r="DN99" s="8"/>
      <c r="DO99" s="8"/>
      <c r="DP99" s="8"/>
    </row>
    <row r="100" spans="2:120" x14ac:dyDescent="0.35">
      <c r="B100" s="16"/>
      <c r="C100" s="16"/>
      <c r="D100" s="16"/>
      <c r="E100" s="16"/>
      <c r="F100" s="24"/>
      <c r="G100" s="8"/>
      <c r="H100" s="8"/>
      <c r="I100" s="8"/>
      <c r="J100" s="8"/>
      <c r="K100" s="8"/>
      <c r="L100" s="8"/>
      <c r="M100" s="8"/>
      <c r="N100" s="8"/>
      <c r="O100" s="8"/>
      <c r="P100" s="8"/>
      <c r="R100" s="8"/>
      <c r="S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V100" s="8"/>
      <c r="CW100" s="8"/>
      <c r="CX100" s="8"/>
      <c r="CY100" s="8"/>
      <c r="CZ100" s="8"/>
      <c r="DA100" s="8"/>
      <c r="DB100" s="8"/>
      <c r="DC100" s="8"/>
      <c r="DD100" s="8"/>
      <c r="DE100" s="8"/>
      <c r="DF100" s="8"/>
      <c r="DG100" s="8"/>
      <c r="DH100" s="8"/>
      <c r="DI100" s="8"/>
      <c r="DL100" s="8"/>
      <c r="DM100" s="8"/>
      <c r="DN100" s="8"/>
      <c r="DO100" s="8"/>
      <c r="DP100" s="8"/>
    </row>
    <row r="101" spans="2:120" x14ac:dyDescent="0.35">
      <c r="B101" s="16"/>
      <c r="C101" s="16"/>
      <c r="D101" s="16"/>
      <c r="E101" s="16"/>
      <c r="F101" s="24"/>
      <c r="G101" s="8"/>
      <c r="H101" s="8"/>
      <c r="I101" s="8"/>
      <c r="J101" s="8"/>
      <c r="K101" s="8"/>
      <c r="L101" s="8"/>
      <c r="M101" s="8"/>
      <c r="N101" s="8"/>
      <c r="O101" s="8"/>
      <c r="P101" s="8"/>
      <c r="R101" s="8"/>
      <c r="S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V101" s="8"/>
      <c r="CW101" s="8"/>
      <c r="CX101" s="8"/>
      <c r="CY101" s="8"/>
      <c r="CZ101" s="8"/>
      <c r="DA101" s="8"/>
      <c r="DB101" s="8"/>
      <c r="DC101" s="8"/>
      <c r="DD101" s="8"/>
      <c r="DE101" s="8"/>
      <c r="DF101" s="8"/>
      <c r="DG101" s="8"/>
      <c r="DH101" s="8"/>
      <c r="DI101" s="8"/>
      <c r="DL101" s="8"/>
      <c r="DM101" s="8"/>
      <c r="DN101" s="8"/>
      <c r="DO101" s="8"/>
      <c r="DP101" s="8"/>
    </row>
    <row r="102" spans="2:120" x14ac:dyDescent="0.35">
      <c r="B102" s="16"/>
      <c r="C102" s="16"/>
      <c r="D102" s="16"/>
      <c r="E102" s="16"/>
      <c r="F102" s="24"/>
      <c r="G102" s="8"/>
      <c r="H102" s="8"/>
      <c r="I102" s="8"/>
      <c r="J102" s="8"/>
      <c r="K102" s="8"/>
      <c r="L102" s="8"/>
      <c r="M102" s="8"/>
      <c r="N102" s="8"/>
      <c r="O102" s="8"/>
      <c r="P102" s="8"/>
      <c r="R102" s="8"/>
      <c r="S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V102" s="8"/>
      <c r="CW102" s="8"/>
      <c r="CX102" s="8"/>
      <c r="CY102" s="8"/>
      <c r="CZ102" s="8"/>
      <c r="DA102" s="8"/>
      <c r="DB102" s="8"/>
      <c r="DC102" s="8"/>
      <c r="DD102" s="8"/>
      <c r="DE102" s="8"/>
      <c r="DF102" s="8"/>
      <c r="DG102" s="8"/>
      <c r="DH102" s="8"/>
      <c r="DI102" s="8"/>
      <c r="DL102" s="8"/>
      <c r="DM102" s="8"/>
      <c r="DN102" s="8"/>
      <c r="DO102" s="8"/>
      <c r="DP102" s="8"/>
    </row>
    <row r="103" spans="2:120" x14ac:dyDescent="0.35">
      <c r="B103" s="16"/>
      <c r="C103" s="16"/>
      <c r="D103" s="16"/>
      <c r="E103" s="16"/>
      <c r="F103" s="24"/>
      <c r="G103" s="8"/>
      <c r="H103" s="8"/>
      <c r="I103" s="8"/>
      <c r="J103" s="8"/>
      <c r="K103" s="8"/>
      <c r="L103" s="8"/>
      <c r="M103" s="8"/>
      <c r="N103" s="8"/>
      <c r="O103" s="8"/>
      <c r="P103" s="8"/>
      <c r="R103" s="8"/>
      <c r="S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V103" s="8"/>
      <c r="CW103" s="8"/>
      <c r="CX103" s="8"/>
      <c r="CY103" s="8"/>
      <c r="CZ103" s="8"/>
      <c r="DA103" s="8"/>
      <c r="DB103" s="8"/>
      <c r="DC103" s="8"/>
      <c r="DD103" s="8"/>
      <c r="DE103" s="8"/>
      <c r="DF103" s="8"/>
      <c r="DG103" s="8"/>
      <c r="DH103" s="8"/>
      <c r="DI103" s="8"/>
      <c r="DL103" s="8"/>
      <c r="DM103" s="8"/>
      <c r="DN103" s="8"/>
      <c r="DO103" s="8"/>
      <c r="DP103" s="8"/>
    </row>
  </sheetData>
  <sheetProtection algorithmName="SHA-512" hashValue="k8g/mgZQX0/mnIZXsPSPf7jaXwWBzlKUO7Nl3gfP7LyhP1S/H5qOOsN5Vv80NQ8TDVYv+VwJbiFGFO3C9aQ4BQ==" saltValue="y7jDZsQQHckjGZdRIqLCYw==" spinCount="100000" sheet="1" formatCells="0" formatColumns="0" formatRows="0" sort="0" autoFilter="0" pivotTables="0"/>
  <mergeCells count="16">
    <mergeCell ref="AD3:DP3"/>
    <mergeCell ref="B4:B5"/>
    <mergeCell ref="D4:D5"/>
    <mergeCell ref="E4:E5"/>
    <mergeCell ref="F4:F5"/>
    <mergeCell ref="G4:G5"/>
    <mergeCell ref="C4:C5"/>
    <mergeCell ref="C87:G87"/>
    <mergeCell ref="C83:G83"/>
    <mergeCell ref="C50:G50"/>
    <mergeCell ref="B1:G1"/>
    <mergeCell ref="I3:AC3"/>
    <mergeCell ref="C85:G85"/>
    <mergeCell ref="C86:G86"/>
    <mergeCell ref="C82:G82"/>
    <mergeCell ref="C53:G53"/>
  </mergeCells>
  <hyperlinks>
    <hyperlink ref="C51" r:id="rId1" xr:uid="{00000000-0004-0000-0400-000008000000}"/>
    <hyperlink ref="C69" r:id="rId2" xr:uid="{00000000-0004-0000-0400-00000B000000}"/>
    <hyperlink ref="C71" r:id="rId3" xr:uid="{00000000-0004-0000-0400-00000A000000}"/>
    <hyperlink ref="C67" r:id="rId4" xr:uid="{00000000-0004-0000-0400-000005000000}"/>
    <hyperlink ref="C65" r:id="rId5" xr:uid="{00000000-0004-0000-0400-000004000000}"/>
    <hyperlink ref="C63" r:id="rId6" xr:uid="{00000000-0004-0000-0400-000003000000}"/>
    <hyperlink ref="C61" r:id="rId7" xr:uid="{00000000-0004-0000-0400-000002000000}"/>
    <hyperlink ref="C59" r:id="rId8" xr:uid="{AAC719A2-1982-4709-A2C9-7F059F0935DD}"/>
    <hyperlink ref="C57" r:id="rId9" xr:uid="{72223B33-61EF-407D-B623-4C4D63260EB6}"/>
    <hyperlink ref="C55" r:id="rId10" xr:uid="{85844664-CD1A-4B77-BB49-CB70AC6C7AF9}"/>
    <hyperlink ref="C47" r:id="rId11" xr:uid="{00000000-0004-0000-0400-000000000000}"/>
    <hyperlink ref="C49" r:id="rId12" xr:uid="{759313FE-45CB-444E-A869-ACEAC7164F6C}"/>
    <hyperlink ref="C53" r:id="rId13" xr:uid="{9996D072-0D26-4924-AE36-A4252BC10762}"/>
    <hyperlink ref="C79" r:id="rId14" xr:uid="{B2D8EB19-AEB1-4805-831D-E1E5E0182773}"/>
    <hyperlink ref="C73" r:id="rId15" xr:uid="{F7DC17FC-41EE-483A-B2DF-1C12044F95FE}"/>
    <hyperlink ref="C75" r:id="rId16" xr:uid="{8DD72570-D135-467E-9993-0C53E73D399E}"/>
    <hyperlink ref="C77" r:id="rId17" xr:uid="{23230FB8-CF34-40C3-BDB9-DB2737F0BA48}"/>
  </hyperlinks>
  <pageMargins left="0.7" right="0.7" top="0.75" bottom="0.75" header="0.3" footer="0.3"/>
  <pageSetup orientation="portrait" r:id="rId18"/>
  <ignoredErrors>
    <ignoredError sqref="CF26:CK26 BI26:BV26 K26:N26 BA26:BG26 AU26:AY26 CB26:CC26 AB26:AS26 O26:Z26 BX26:BZ2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Boilers &amp; Heaters</vt:lpstr>
      <vt:lpstr>Engines &amp; Turbines</vt:lpstr>
      <vt:lpstr>Flares &amp; Crematories</vt:lpstr>
      <vt:lpstr>O&amp;G Fugitives</vt:lpstr>
      <vt:lpstr>Misc. Fugitive Dust</vt:lpstr>
      <vt:lpstr>Minerals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E. Cocchi</dc:creator>
  <cp:lastModifiedBy>Taylor Morais</cp:lastModifiedBy>
  <dcterms:created xsi:type="dcterms:W3CDTF">2016-09-26T17:07:28Z</dcterms:created>
  <dcterms:modified xsi:type="dcterms:W3CDTF">2026-01-09T22:01:38Z</dcterms:modified>
</cp:coreProperties>
</file>